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ublicuprdor\Общая папка\ОТДЕЛ ПЛАНИРОВАНИЯ И ЭКОНОМИЧЕСКОГО АНАЛИЗА\3. Иванов А.В\!БКАД 2022\"/>
    </mc:Choice>
  </mc:AlternateContent>
  <bookViews>
    <workbookView xWindow="-120" yWindow="-120" windowWidth="29040" windowHeight="15840" tabRatio="396"/>
  </bookViews>
  <sheets>
    <sheet name="ремонт" sheetId="6" r:id="rId1"/>
  </sheets>
  <definedNames>
    <definedName name="_xlnm._FilterDatabase" localSheetId="0" hidden="1">ремонт!$L$22:$L$22</definedName>
    <definedName name="_xlnm.Print_Titles" localSheetId="0">ремонт!$6:$8</definedName>
    <definedName name="_xlnm.Print_Area" localSheetId="0">ремонт!$A$1:$AS$88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5" i="6" l="1"/>
  <c r="AQ16" i="6" s="1"/>
  <c r="AQ14" i="6" s="1"/>
  <c r="M41" i="6"/>
  <c r="M16" i="6" s="1"/>
  <c r="AR16" i="6"/>
  <c r="AR14" i="6" s="1"/>
  <c r="AP17" i="6"/>
  <c r="AP34" i="6"/>
  <c r="AP24" i="6"/>
  <c r="AP22" i="6"/>
  <c r="AP25" i="6"/>
  <c r="N16" i="6"/>
  <c r="P16" i="6"/>
  <c r="Q16" i="6"/>
  <c r="R16" i="6"/>
  <c r="T16" i="6"/>
  <c r="AH16" i="6"/>
  <c r="AI16" i="6"/>
  <c r="AJ16" i="6"/>
  <c r="AK16" i="6"/>
  <c r="AL16" i="6"/>
  <c r="AM16" i="6"/>
  <c r="AN16" i="6"/>
  <c r="AO16" i="6"/>
  <c r="AP16" i="6" l="1"/>
  <c r="AP14" i="6" s="1"/>
  <c r="F16" i="6"/>
  <c r="J16" i="6" l="1"/>
  <c r="H36" i="6" l="1"/>
  <c r="O36" i="6" s="1"/>
  <c r="F43" i="6" l="1"/>
  <c r="L37" i="6" l="1"/>
  <c r="K26" i="6"/>
  <c r="K22" i="6"/>
  <c r="L26" i="6"/>
  <c r="L22" i="6"/>
  <c r="H45" i="6" l="1"/>
  <c r="L47" i="6" l="1"/>
  <c r="K47" i="6"/>
  <c r="J47" i="6"/>
  <c r="I47" i="6"/>
  <c r="F47" i="6"/>
  <c r="H48" i="6" l="1"/>
  <c r="H60" i="6" l="1"/>
  <c r="H57" i="6"/>
  <c r="H55" i="6"/>
  <c r="H56" i="6"/>
  <c r="G54" i="6" l="1"/>
  <c r="G47" i="6" s="1"/>
  <c r="H54" i="6" l="1"/>
  <c r="H58" i="6"/>
  <c r="H59" i="6"/>
  <c r="H47" i="6" l="1"/>
  <c r="L43" i="6" l="1"/>
  <c r="J43" i="6"/>
  <c r="I43" i="6"/>
  <c r="G43" i="6"/>
  <c r="K43" i="6"/>
  <c r="AO47" i="6"/>
  <c r="AO14" i="6" s="1"/>
  <c r="AN47" i="6"/>
  <c r="AN14" i="6" s="1"/>
  <c r="AM47" i="6"/>
  <c r="AM14" i="6" s="1"/>
  <c r="AL47" i="6"/>
  <c r="AL14" i="6" s="1"/>
  <c r="AK47" i="6"/>
  <c r="AK14" i="6" s="1"/>
  <c r="AJ47" i="6"/>
  <c r="AJ14" i="6" s="1"/>
  <c r="AI47" i="6"/>
  <c r="AI14" i="6" s="1"/>
  <c r="AH47" i="6"/>
  <c r="AH14" i="6" s="1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T14" i="6" s="1"/>
  <c r="S47" i="6"/>
  <c r="R47" i="6"/>
  <c r="R14" i="6" s="1"/>
  <c r="Q47" i="6"/>
  <c r="Q14" i="6" s="1"/>
  <c r="P47" i="6"/>
  <c r="P14" i="6" s="1"/>
  <c r="N47" i="6"/>
  <c r="M47" i="6"/>
  <c r="O48" i="6" l="1"/>
  <c r="O47" i="6" s="1"/>
  <c r="G63" i="6"/>
  <c r="K27" i="6" l="1"/>
  <c r="K16" i="6" s="1"/>
  <c r="L32" i="6"/>
  <c r="L16" i="6" s="1"/>
  <c r="L14" i="6" s="1"/>
  <c r="AT17" i="6" l="1"/>
  <c r="H64" i="6" l="1"/>
  <c r="O64" i="6" s="1"/>
  <c r="O63" i="6" s="1"/>
  <c r="L63" i="6"/>
  <c r="N63" i="6"/>
  <c r="M63" i="6"/>
  <c r="K63" i="6"/>
  <c r="J63" i="6"/>
  <c r="I63" i="6"/>
  <c r="F63" i="6"/>
  <c r="H63" i="6" l="1"/>
  <c r="I4" i="6"/>
  <c r="H44" i="6" l="1"/>
  <c r="H43" i="6" s="1"/>
  <c r="H40" i="6"/>
  <c r="H39" i="6"/>
  <c r="H38" i="6"/>
  <c r="H37" i="6"/>
  <c r="H35" i="6"/>
  <c r="H34" i="6"/>
  <c r="H32" i="6"/>
  <c r="H31" i="6"/>
  <c r="H28" i="6"/>
  <c r="H27" i="6"/>
  <c r="H26" i="6"/>
  <c r="H25" i="6"/>
  <c r="H23" i="6"/>
  <c r="H22" i="6"/>
  <c r="H21" i="6"/>
  <c r="H20" i="6"/>
  <c r="H19" i="6"/>
  <c r="H18" i="6"/>
  <c r="H17" i="6"/>
  <c r="J14" i="6" l="1"/>
  <c r="AV33" i="6"/>
  <c r="AU33" i="6"/>
  <c r="H33" i="6"/>
  <c r="AT34" i="6" s="1"/>
  <c r="H24" i="6"/>
  <c r="H29" i="6"/>
  <c r="K14" i="6" l="1"/>
  <c r="AT15" i="6" l="1"/>
  <c r="F14" i="6" l="1"/>
  <c r="N43" i="6" l="1"/>
  <c r="N14" i="6" s="1"/>
  <c r="N12" i="6"/>
  <c r="N11" i="6" s="1"/>
  <c r="N9" i="6" l="1"/>
  <c r="O38" i="6" l="1"/>
  <c r="O39" i="6"/>
  <c r="O40" i="6"/>
  <c r="O45" i="6"/>
  <c r="O35" i="6"/>
  <c r="O32" i="6"/>
  <c r="O31" i="6"/>
  <c r="O44" i="6" l="1"/>
  <c r="O37" i="6"/>
  <c r="O34" i="6"/>
  <c r="O33" i="6"/>
  <c r="O30" i="6"/>
  <c r="O28" i="6"/>
  <c r="O27" i="6"/>
  <c r="O26" i="6"/>
  <c r="O25" i="6"/>
  <c r="O24" i="6"/>
  <c r="O23" i="6"/>
  <c r="O22" i="6"/>
  <c r="O21" i="6"/>
  <c r="O20" i="6"/>
  <c r="O19" i="6"/>
  <c r="O18" i="6" l="1"/>
  <c r="O17" i="6"/>
  <c r="M43" i="6" l="1"/>
  <c r="M14" i="6" s="1"/>
  <c r="O43" i="6"/>
  <c r="V24" i="6" l="1"/>
  <c r="X20" i="6"/>
  <c r="V20" i="6"/>
  <c r="AB21" i="6"/>
  <c r="Z21" i="6"/>
  <c r="V21" i="6"/>
  <c r="X23" i="6"/>
  <c r="X29" i="6"/>
  <c r="X27" i="6"/>
  <c r="Z17" i="6" l="1"/>
  <c r="Z16" i="6" s="1"/>
  <c r="Z14" i="6" s="1"/>
  <c r="U24" i="6"/>
  <c r="Z20" i="6" l="1"/>
  <c r="X21" i="6"/>
  <c r="AE32" i="6" l="1"/>
  <c r="AC32" i="6"/>
  <c r="AA32" i="6"/>
  <c r="Y32" i="6"/>
  <c r="W32" i="6"/>
  <c r="AE26" i="6" l="1"/>
  <c r="AC26" i="6"/>
  <c r="AA26" i="6"/>
  <c r="Y26" i="6"/>
  <c r="W26" i="6"/>
  <c r="AC25" i="6"/>
  <c r="AA25" i="6"/>
  <c r="Y25" i="6"/>
  <c r="U25" i="6"/>
  <c r="S25" i="6"/>
  <c r="AG22" i="6"/>
  <c r="AG16" i="6" s="1"/>
  <c r="AG14" i="6" s="1"/>
  <c r="AE22" i="6"/>
  <c r="AC22" i="6"/>
  <c r="AA22" i="6"/>
  <c r="Y22" i="6"/>
  <c r="W22" i="6"/>
  <c r="U22" i="6"/>
  <c r="U16" i="6" s="1"/>
  <c r="U14" i="6" s="1"/>
  <c r="S22" i="6"/>
  <c r="S16" i="6" s="1"/>
  <c r="S14" i="6" s="1"/>
  <c r="AE18" i="6"/>
  <c r="AC18" i="6"/>
  <c r="AA18" i="6"/>
  <c r="AA16" i="6" s="1"/>
  <c r="AA14" i="6" s="1"/>
  <c r="Y18" i="6"/>
  <c r="AC19" i="6"/>
  <c r="AA19" i="6"/>
  <c r="Y19" i="6"/>
  <c r="AF29" i="6"/>
  <c r="AD29" i="6"/>
  <c r="AB29" i="6"/>
  <c r="Z29" i="6"/>
  <c r="AF27" i="6"/>
  <c r="AF16" i="6" s="1"/>
  <c r="AF14" i="6" s="1"/>
  <c r="AD27" i="6"/>
  <c r="AB27" i="6"/>
  <c r="Z27" i="6"/>
  <c r="V27" i="6"/>
  <c r="AD24" i="6"/>
  <c r="Z24" i="6"/>
  <c r="X24" i="6"/>
  <c r="X16" i="6" s="1"/>
  <c r="X14" i="6" s="1"/>
  <c r="AD23" i="6"/>
  <c r="AB23" i="6"/>
  <c r="Z23" i="6"/>
  <c r="V23" i="6"/>
  <c r="V16" i="6" s="1"/>
  <c r="V14" i="6" s="1"/>
  <c r="AE16" i="6" l="1"/>
  <c r="AE14" i="6" s="1"/>
  <c r="AC16" i="6"/>
  <c r="AC14" i="6" s="1"/>
  <c r="W16" i="6"/>
  <c r="W14" i="6" s="1"/>
  <c r="AD16" i="6"/>
  <c r="AD14" i="6" s="1"/>
  <c r="Y16" i="6"/>
  <c r="Y14" i="6" s="1"/>
  <c r="AB24" i="6"/>
  <c r="AB20" i="6"/>
  <c r="AB16" i="6" l="1"/>
  <c r="AB14" i="6" s="1"/>
  <c r="G29" i="6"/>
  <c r="G16" i="6" s="1"/>
  <c r="AT19" i="6"/>
  <c r="AU19" i="6" s="1"/>
  <c r="O12" i="6"/>
  <c r="M11" i="6"/>
  <c r="G11" i="6"/>
  <c r="F11" i="6"/>
  <c r="G14" i="6" l="1"/>
  <c r="O11" i="6"/>
  <c r="G2" i="6" l="1"/>
  <c r="F15" i="6"/>
  <c r="F13" i="6"/>
  <c r="F9" i="6"/>
  <c r="M9" i="6"/>
  <c r="G9" i="6" l="1"/>
  <c r="AH13" i="6"/>
  <c r="AH9" i="6" l="1"/>
  <c r="O29" i="6" l="1"/>
  <c r="AW15" i="6"/>
  <c r="AT18" i="6" l="1"/>
  <c r="AU21" i="6" s="1"/>
  <c r="I16" i="6" l="1"/>
  <c r="I14" i="6" s="1"/>
  <c r="H41" i="6"/>
  <c r="H14" i="6" l="1"/>
  <c r="O41" i="6"/>
  <c r="O16" i="6" s="1"/>
  <c r="O14" i="6" s="1"/>
  <c r="O9" i="6" s="1"/>
  <c r="H16" i="6"/>
  <c r="AV15" i="6"/>
</calcChain>
</file>

<file path=xl/comments1.xml><?xml version="1.0" encoding="utf-8"?>
<comments xmlns="http://schemas.openxmlformats.org/spreadsheetml/2006/main">
  <authors>
    <author>Татьяна Большакова</author>
  </authors>
  <commentList>
    <comment ref="B37" authorId="0" shapeId="0">
      <text>
        <r>
          <rPr>
            <b/>
            <sz val="18"/>
            <color indexed="81"/>
            <rFont val="Tahoma"/>
            <family val="2"/>
            <charset val="204"/>
          </rPr>
          <t>Татьяна Большакова:</t>
        </r>
        <r>
          <rPr>
            <sz val="18"/>
            <color indexed="81"/>
            <rFont val="Tahoma"/>
            <family val="2"/>
            <charset val="204"/>
          </rPr>
          <t xml:space="preserve">
Финасовый контроль</t>
        </r>
      </text>
    </comment>
  </commentList>
</comments>
</file>

<file path=xl/sharedStrings.xml><?xml version="1.0" encoding="utf-8"?>
<sst xmlns="http://schemas.openxmlformats.org/spreadsheetml/2006/main" count="322" uniqueCount="219">
  <si>
    <t>п/п №</t>
  </si>
  <si>
    <t>Наименование объектов</t>
  </si>
  <si>
    <t>№ объекта</t>
  </si>
  <si>
    <t>Адрес участка</t>
  </si>
  <si>
    <t>Мощность по проекту на 2022 год</t>
  </si>
  <si>
    <t>Проектная документация</t>
  </si>
  <si>
    <t>Размещение закупки</t>
  </si>
  <si>
    <t xml:space="preserve">Заключение контракта </t>
  </si>
  <si>
    <t>ПРИМЕЧАНИЕ</t>
  </si>
  <si>
    <t>Начало (км+м)</t>
  </si>
  <si>
    <t>Конец (км+м)</t>
  </si>
  <si>
    <t>км</t>
  </si>
  <si>
    <t>Проектная организация</t>
  </si>
  <si>
    <t>Проектно-сметная документация</t>
  </si>
  <si>
    <t>Наличие госэкспертизы</t>
  </si>
  <si>
    <t>ВСЕГО:</t>
  </si>
  <si>
    <t>Объекты капитального ремонта и ремонта , итого:</t>
  </si>
  <si>
    <t>Выполнение ремонтных работ на  автомобильной дороге Уолба - Булун - нефтебаза</t>
  </si>
  <si>
    <t>15+870</t>
  </si>
  <si>
    <t>22+870</t>
  </si>
  <si>
    <t>ООО "ГРАНДПРОЕКТ"</t>
  </si>
  <si>
    <t>Разработана</t>
  </si>
  <si>
    <t>-</t>
  </si>
  <si>
    <t>Положительное заключение ГАУ «РЦЦС РС (Я)» от 20.04.2021 г. №14-С-1-0263-21</t>
  </si>
  <si>
    <t>Контракт № ЭА-8947 от 30.07.2021г. Подрядная организация АО "Таттаавтодор"</t>
  </si>
  <si>
    <t>Выполнение ремонтных работ на  автомобильной дороге Устье - Кемпендяй</t>
  </si>
  <si>
    <t>40+700</t>
  </si>
  <si>
    <t>42+700</t>
  </si>
  <si>
    <t>ООО "ПКБ ТЕПЛОСТРОЙПРОЕКТ"</t>
  </si>
  <si>
    <t>Положительное заключение ГАУ «РЦЦС РС (Я)» от 08.02.2021 г. №14-С-1-0071-21</t>
  </si>
  <si>
    <t>Контракт № ЭА-9377 от 10.08.2021г. Подрядная организация ООО "Сунтарцеолит"</t>
  </si>
  <si>
    <t>Выполнение ремонтных работ на  автомобильной дороге Тикси - аэропорт</t>
  </si>
  <si>
    <t>4+500</t>
  </si>
  <si>
    <t>6+500</t>
  </si>
  <si>
    <t>ПО ДЕФЕКТНОЙ ВЕДОМОСТИ</t>
  </si>
  <si>
    <t>Выполнение ремонтных работ на автомобильной дороге Нижний Бестях (1157-й км а/д "Лена") - Амга - Усть-Мая - Эльдикан - Югоренок (а/д "Амга"), с подъездами к нефтебазе, с. Петропавловск</t>
  </si>
  <si>
    <t>0+000</t>
  </si>
  <si>
    <t>10+000</t>
  </si>
  <si>
    <t>3+000</t>
  </si>
  <si>
    <t>122+590</t>
  </si>
  <si>
    <t>138+000</t>
  </si>
  <si>
    <t>Выполнение ремонтных работ на  автомобильной дороге Якутск - Покровск - Олекминск  - Ленск - Пеледуй (а/д "Умнас") с подъездами к г. Покровск, п. Мохсоголлох</t>
  </si>
  <si>
    <t>119+000</t>
  </si>
  <si>
    <t>132+000</t>
  </si>
  <si>
    <t>ООО "Ленастройпроект"</t>
  </si>
  <si>
    <t>666+000</t>
  </si>
  <si>
    <t>676+000</t>
  </si>
  <si>
    <t>677+615</t>
  </si>
  <si>
    <t>1031+294</t>
  </si>
  <si>
    <t>1041+294</t>
  </si>
  <si>
    <t>ООО "ЦАН"</t>
  </si>
  <si>
    <t>Выполнение ремонтных работ на автомобильной дороге 509-й км "Колыма" - Тополиное - Токума - Батагай - Усть-Куйга - Казачье - Нижнеянск (а/д "Яна")</t>
  </si>
  <si>
    <t>98+000</t>
  </si>
  <si>
    <t>128+500</t>
  </si>
  <si>
    <t>Выполнение ремонтных работ на  автомобильной дороге Майя - Тюнгюлю - Борогонцы (а/д "Мюрю")</t>
  </si>
  <si>
    <t>37+000</t>
  </si>
  <si>
    <t>48+000</t>
  </si>
  <si>
    <t xml:space="preserve">Выполнение ремонтных работ на  автомобильной дороге 727-й км а/д "Колыма" - Кюбюме  - Куйдусун -р. Индигирка (а/д "Оймякон") </t>
  </si>
  <si>
    <t>ООО ПФ "ХОТ"</t>
  </si>
  <si>
    <t>Выполнение ремонтных работ на  автомобильной дороге Ытык-Кюель (255-й км а/д "Колыма") - Харбалах - Чычымах (а/д "Харбалах")</t>
  </si>
  <si>
    <t>18+000</t>
  </si>
  <si>
    <t>33+000</t>
  </si>
  <si>
    <t xml:space="preserve"> Выполнение ремонтных работ на  автомобильной дороге Ленск - 1242-й км а/д "Вилюй" (а/д "Мухтуя)</t>
  </si>
  <si>
    <t>138+040</t>
  </si>
  <si>
    <t xml:space="preserve">Выполнение ремонтных работ на автомобильной дороге Кангалассы - Борогонцы (а/д "Борогон") </t>
  </si>
  <si>
    <t>66+910</t>
  </si>
  <si>
    <t>71+910</t>
  </si>
  <si>
    <t xml:space="preserve"> ООО СВСК "Техстрой" 
</t>
  </si>
  <si>
    <t>Положительное заключение ГАУ «РЦЦС РС (Я)» от 14.07.2020 №14-С-1-0058-20</t>
  </si>
  <si>
    <t>Выполнение ремонтных работ на автомобильной дороге Кангалассы - Борогонцы (а/д "Борогон")</t>
  </si>
  <si>
    <t xml:space="preserve">71+910  </t>
  </si>
  <si>
    <t>81+630</t>
  </si>
  <si>
    <t xml:space="preserve">Выполнение ремонтных работ на автомобильной дороге "Бетюн" Бетюнцы (191-й км а/д "Амга") - Сулгаччы -Мындагай - (180-й км а/д "Колыма") Чурапча  (а/д "Бетюн") </t>
  </si>
  <si>
    <t>161+950</t>
  </si>
  <si>
    <t>166+950</t>
  </si>
  <si>
    <t>Контракт № ЭА-10572 от 03.09.2021г. Подрядная организация ООО "Восход"</t>
  </si>
  <si>
    <t>ИТОГО</t>
  </si>
  <si>
    <t>НМЦК  в тыс. руб.</t>
  </si>
  <si>
    <t>Экономия по итогам торгов, в тыс.руб</t>
  </si>
  <si>
    <t>ОБЪЕКТЫ С ПРОЕКТНО-СМЕТНОЙ ДОКУМЕНТАЦИЕЙ (ПСД)</t>
  </si>
  <si>
    <t>104+400</t>
  </si>
  <si>
    <t>96+600</t>
  </si>
  <si>
    <t>Положительное заключение ГАУ «РЦЦС РС (Я)» от 12.10.2020 г. №14-С-1-0626-20</t>
  </si>
  <si>
    <t>ООО "Сибстройпроект"</t>
  </si>
  <si>
    <t>Пояснения по включению в план мероприятий</t>
  </si>
  <si>
    <t>Согласно программы дорожных работ Республики Саха (Якутия) на 2021 год и плановый период 2022 - 2024 годы</t>
  </si>
  <si>
    <t>По итогам комиссионного обследования  представителем ГКУ "Управтодор РС(Я)"  в мае месяце 2021 года, ремонтный участок дороги, был перенесен с км 0+000 - 2+000 на км 4+500 - км 6+500.</t>
  </si>
  <si>
    <t>113+040</t>
  </si>
  <si>
    <t xml:space="preserve">В утвержденной программе дорожных работ Республики Саха (Якутия) на 2021 год и плановый период 2022 - 2024 годы, допущена ошибка в наименовании объекта. </t>
  </si>
  <si>
    <t>Для достижения целевых показателей НП "БКД", предлагаем взамен ремонтных участков на 2022 год по а/д "Борогон" км 61+910 - км 66+910, а/д "Мюрю" км 100+550 - км 103+980. (протяженностью - 8,43)</t>
  </si>
  <si>
    <t>Для достижения целевых показателей НП "БКД", предлагаем взамен ремонтных участков на 2022 год по а/д "Амга" км 470+000 - км 482+000. (протяженностью - 12 км) 
Остаток - 1 км</t>
  </si>
  <si>
    <t>661+000</t>
  </si>
  <si>
    <t>Для достижения целевых показателей НП "БКД", предлагаем взамен ремонтных участков на 2022 год по а/д "Мюрю" км 70+020 - км 76+890. (протяженностью - 6,87 км)
Остаток - 1,87 км</t>
  </si>
  <si>
    <t>Для достижения целевых показателей НП "БКД", предлагаем взамен ремонтных участков на 2022 год по а/д "Яна" км 38+180 - км 46+000. (протяженностью - 15,82 км), а/д "Вилюй" - Кысыл-Сыр км 0+000 - км 8+000. (протяженностью - 8 км), а/д "Устье-Кемпендяй км 0+000 - км 12+000 (протяженность 12км)
Остаток - 5,32 км</t>
  </si>
  <si>
    <t>Для достижения целевых показателей НП "БКД", предлагаем взамен ремонтных участков на 2022 год  по а/д "Амга" км 58+000 - км 70+000 (протяженность - 12 км), остаток - 5,32 км а/д "Устье-Кемпендяй.
Остаток - 2,32 км.</t>
  </si>
  <si>
    <t>Для достижения целевых показателей НП "БКД", а также для приведения в нормативное состояние транзитной улицы с.1-й Нерюктяинск Олекминского района, остаток -1,87 км а/д "Мюрю" км 70+020 - км 76+890. 
Остаток - 0,26 км</t>
  </si>
  <si>
    <t>Для достижения целевых показателей НП "БКД", предлагаем взамен ремонтных участков на 2022 год  остаток - 2,32 км а/д " устье кемпендяй" км 0+000 - км 12+000, остаток - 0,26 км  а/д "Мюрю" км 70+020 - км 76+890</t>
  </si>
  <si>
    <t>180+830</t>
  </si>
  <si>
    <t>188+680</t>
  </si>
  <si>
    <t>Положительное заключение ГАУ «РЦЦС РС (Я)» от 29.09.2021 г. №14-С-1-0627-21</t>
  </si>
  <si>
    <t>Положительное заключение ГАУ «РЦЦС РС (Я)» от 23.09.2021 г. №14-С-1-0646-21</t>
  </si>
  <si>
    <t xml:space="preserve">Контракт № ЭА/прСМП-10916 от 13.09.2021г. Подрядная организация ООО "СУ-77" </t>
  </si>
  <si>
    <t>619+500</t>
  </si>
  <si>
    <t>626+850</t>
  </si>
  <si>
    <t>ООО СВСК "Техстрой"</t>
  </si>
  <si>
    <t>2022 год</t>
  </si>
  <si>
    <t>2023 год</t>
  </si>
  <si>
    <t>2024 год</t>
  </si>
  <si>
    <t>Мощность на 2022-2024 годы</t>
  </si>
  <si>
    <t>Объекты 2022 года</t>
  </si>
  <si>
    <t xml:space="preserve">Контракт № ЭА/прСМП-13214 от 08.11.2021г. Подрядная организация ООО "МКАД" </t>
  </si>
  <si>
    <t xml:space="preserve">Контракт № ЭА-13294 от 08.11.2021г. Подрядная организация ООО "СФЕРА" </t>
  </si>
  <si>
    <t>Планируется в июне 2022</t>
  </si>
  <si>
    <t>Планируется в мае 2022</t>
  </si>
  <si>
    <t>Планируется в марте 2022</t>
  </si>
  <si>
    <t>Планируется в феврале 2022</t>
  </si>
  <si>
    <t>Планируется в январе 2022</t>
  </si>
  <si>
    <t>Планируется в апреле 2022</t>
  </si>
  <si>
    <t xml:space="preserve">Реконструкция автомобильной дороги Якутск – Покровск – Олекминск – Ленск – Пеледуй (а/д «Умнас») с подъездами к г. Покровск, п. Мохсоголлох,  на участке км 11+868 – км 20+000 в ГО «город Якутск» Республики Саха (Якутия) </t>
  </si>
  <si>
    <t>11+868</t>
  </si>
  <si>
    <t>20+000</t>
  </si>
  <si>
    <t>НМЦК 2 201 086,4 тыс.руб. Мощность 8,2км.</t>
  </si>
  <si>
    <t>ОБЪЕКТЫ СТРОИТЕЛЬСТВА</t>
  </si>
  <si>
    <t>КАПИТАЛЬНЫЙ РЕМОНТ, РЕМОНТ</t>
  </si>
  <si>
    <t>ВСЕГО ПО ОБЪЕКТАМ:</t>
  </si>
  <si>
    <t>92+537</t>
  </si>
  <si>
    <t xml:space="preserve">77+537 </t>
  </si>
  <si>
    <t>4+000</t>
  </si>
  <si>
    <t xml:space="preserve"> 70+400</t>
  </si>
  <si>
    <t>74+000</t>
  </si>
  <si>
    <t>470+000</t>
  </si>
  <si>
    <t>482+000</t>
  </si>
  <si>
    <t>Для достижения целевых показателей НП "БКД"</t>
  </si>
  <si>
    <t>ВСЕГО в тыс. руб.</t>
  </si>
  <si>
    <t>ФБ в тыс. руб.</t>
  </si>
  <si>
    <t>ДФ в тыс. руб.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</si>
  <si>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</si>
  <si>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</si>
  <si>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</si>
  <si>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</si>
  <si>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</si>
  <si>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</si>
  <si>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</si>
  <si>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</si>
  <si>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</si>
  <si>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План года по месяцам</t>
  </si>
  <si>
    <t>46+700</t>
  </si>
  <si>
    <t>48+250</t>
  </si>
  <si>
    <t xml:space="preserve"> Контракт № ЭА-14514 от 03.12.2021г. Подрядная организация АО "ТАТТААВТОДОР". </t>
  </si>
  <si>
    <t>Контракт № ЭА-14639 от 03.12.2021г. Подрядная организация  ООО "Дороги Олекмы"</t>
  </si>
  <si>
    <t xml:space="preserve">Контракт № ЭА/прСМП-14637 от 06.12.2021г. Подрядная организация  ООО "Строй-В". </t>
  </si>
  <si>
    <t xml:space="preserve">Контракт № ЭА/прСМП-14620 от 06.12.2021г. Подрядная организация  ООО "Строй-В". </t>
  </si>
  <si>
    <t xml:space="preserve">Контракт № ЭА/прСМП-14548 от 07.12.2021г. Подрядная организация ООО "Дортранс". </t>
  </si>
  <si>
    <t xml:space="preserve">Контракт № ЭА/прСМП-13211 от 08.11.2021г. Подрядная организация ООО "Трансстройсаха" </t>
  </si>
  <si>
    <t>Планируется в февраль 2022</t>
  </si>
  <si>
    <t>Планируется в март 2022</t>
  </si>
  <si>
    <t>ООО "Доринжиниринг</t>
  </si>
  <si>
    <t>Положительное заключение ГАУ «РЦЦС РС (Я)» от 26.10.2021 г. №14-С-1-0204-20</t>
  </si>
  <si>
    <t>ЦЕЛЕВОЙ ПОКАЗАТЕЛЬ НА 2022 год - 217,48 км</t>
  </si>
  <si>
    <t xml:space="preserve">Контракт № ЭА/прСМП-16516 от 10.01.2021 Подрядная организация  ООО "Арман". </t>
  </si>
  <si>
    <t>ГБ в тыс. руб.</t>
  </si>
  <si>
    <t>131+000</t>
  </si>
  <si>
    <t>Выполнение ремонтных работ на автомобильной дороге 510-й км "Колыма" - Тополиное - Токума - Батагай - Усть-Куйга - Казачье - Нижнеянск  (а/д "Яна") на участке км 128+500 - 131+000 в Томпонском районе Республики Саха (Якутия)</t>
  </si>
  <si>
    <t>Всего по контракту</t>
  </si>
  <si>
    <t>Сост счета на 17.01.2022</t>
  </si>
  <si>
    <t>кап ремонт</t>
  </si>
  <si>
    <t>Допы ФБ</t>
  </si>
  <si>
    <t>дефицит</t>
  </si>
  <si>
    <t xml:space="preserve">Контракт №ЭА/прСМП-9583 от 10.08.2021 Подрядная организация ООО "Дортранс" </t>
  </si>
  <si>
    <t>ОБЪЕКТ ПО КЖЦ</t>
  </si>
  <si>
    <t>Капитальный ремонт а/д "Анабар" на участке км 0+000 - км 10+000</t>
  </si>
  <si>
    <t>Финиш ФЕЭ</t>
  </si>
  <si>
    <t>Капитальный ремонт автомобильной дороги Якутск - Покровск - Олекминск  - Ленск - Пеледуй (а/д "Умнас") с подъездами к г. Покровск, п. Мохсоголлох</t>
  </si>
  <si>
    <t>Капитальный ремонт автомобильной дороги  Майя - Тюнгюлю - Борогонцы (а/д "Мюрю"), на участке км 0+000 - км 3+000</t>
  </si>
  <si>
    <t>Контракт №ОК-16933 от 31.01.2022г. Подрядная организация АО РИК "Автодор".</t>
  </si>
  <si>
    <t xml:space="preserve"> "Реконструкция автомобильной дороги Якутск-Намцы –Булус (а/д «Нам») с подъездами к п. Жатай, п. Кангалассы на участке км 11+400 – км 18+500 в ГО «Город Якутск» Республики Саха Якутия) I пусковой комплекс"</t>
  </si>
  <si>
    <t>11+400</t>
  </si>
  <si>
    <t>18+500</t>
  </si>
  <si>
    <t>ОБЪЕКТЫ РЕКОНСТРУКЦИИ</t>
  </si>
  <si>
    <t>На стадии разработки  ПСД. Ориентировочная дата получения полож. Закл.экспертизы 30.06.2022 переходящий объект на 2023 год. При получении положительного заключения экспертизы и включения в Гос. задание объекта до 08.07.2022г. Примерная дата заключения контракта на СМР не ранее 06.08.2022г. (Электронный аукцион)</t>
  </si>
  <si>
    <t>Реконструкция мостового перехода р.Аллах-Юнь на км 609 автомобильной дороги "Амга" в Усть-Майском районе Республики Саха (Якутия)</t>
  </si>
  <si>
    <t>Реконструкция мостового перехода через р. Менкюле на км 70 автомобильной дороги "Яна" в Томпонском районе Республики Саха (Якутия)</t>
  </si>
  <si>
    <t>Реконструкция мостового перехода через р.Нюя на км 114 автомобильной дороги 1246-й км а/д "Вилюй" - Ленск</t>
  </si>
  <si>
    <t>112+420</t>
  </si>
  <si>
    <t>114+230</t>
  </si>
  <si>
    <t>608+560</t>
  </si>
  <si>
    <t>610+292</t>
  </si>
  <si>
    <t>70+00</t>
  </si>
  <si>
    <t>70+869</t>
  </si>
  <si>
    <t xml:space="preserve"> Контракт №ОКОУ/прСМП-00401 от 01.06.2020г. Подрядная организация ООО "СтройМост". Основные строительные материалы для своевременного завершения объекта закуплены.</t>
  </si>
  <si>
    <t xml:space="preserve"> Контракт №ОКОУ/прСМП-3919 от 19.05.2021г. Подрядная организация ООО "СтройМост". Основные строительные материалы для своевременного завершения объекта закуплены.</t>
  </si>
  <si>
    <t>Контракт №Окоу/прСМП-6056 от 12.08.2021г. Подрядная организация ООО "Хотьковский автомост".  Срок сдачи объекта 4 кв. 2023 года.</t>
  </si>
  <si>
    <t>Строительный контроль</t>
  </si>
  <si>
    <t>Авторский надзор</t>
  </si>
  <si>
    <t>ОЗиИО</t>
  </si>
  <si>
    <t>Составление техпана по завершении СМР</t>
  </si>
  <si>
    <t>Контракт №ОК/прСМП-7979  от 27.07.2021 г.</t>
  </si>
  <si>
    <t>Контракт № ЭА/СМП-05860 от 19.06.2020 г.</t>
  </si>
  <si>
    <t>Контракт № ЕИ-004 от 17.07.2020 г.</t>
  </si>
  <si>
    <t>Непредвиденные затраты по 310</t>
  </si>
  <si>
    <t xml:space="preserve"> Контракт № ОК/прСМП-11906 от 08.12.2020 г. Подрядная организация ЗАО "Дороги Саха". Основные строительные материалы для своевременного завершения объекта закуплены.</t>
  </si>
  <si>
    <t>Выкуп земель</t>
  </si>
  <si>
    <t>ЕИ-1 от 07.04.2021 г. Исполнитель - ООО "Азимут"</t>
  </si>
  <si>
    <t>ОК/прСМП-3732 от 20.05.2021 г. Исполнитель - ООО "СТК Групп"</t>
  </si>
  <si>
    <t>Составление техплана по завершении СМР</t>
  </si>
  <si>
    <t>Контракт №ЭА-2738 от 28.03.2022г. Подрядная организация ООО "Энерготек"</t>
  </si>
  <si>
    <t>Положительное заключение №14-1-1-2-005676-2022 от 03.02.2022 г. По состоянию на 02.03.2022г. Ведется расчет локальной сметы по 2022-2024 гг.
с разбивкой и уточнением объемов работ. При включении объекта в Гос. задание до 10.04.2022г. примерная дата заключения контракта на СМР не ранее 05.05.2022г. (Электронный аукцион)</t>
  </si>
  <si>
    <t xml:space="preserve">Открытый конкурс. Включен в ГЗ
Примерные даты торгов и заключение Контракта: 
- Дата публикации в ЕИС 11.03.2022г.;
-  Срок подачи заявок 29.03.2022г.;
- Подведение итогов:30.03.2022г.;
- ПОБЕДИТЕЛЬ АО "РИК АВТОДОР"
- Дата заключения контракта с 11.04.2022г                                    . </t>
  </si>
  <si>
    <t>Контракт №ЭА-3010 от 04.04.2022г. Подрядная организация АО "Таттаавтодор"</t>
  </si>
  <si>
    <t xml:space="preserve">
ПОБЕДИТЕЛЬ ИП "Алексеев Н.Н.", заключение контракта с 04.04.2022г.  Контракт №ЭА-2839 от 04.04.2022г.</t>
  </si>
  <si>
    <t xml:space="preserve">ПОБЕДИТЕЛЬ ООО "Бриз" , заключение контракта с 5  апреля 2022. Контракт ЭА-3017 от 05.04.2022          </t>
  </si>
  <si>
    <t>Выполнение ремонтных работ на автомобильной дороге 417-й км а/д «Колыма» - Джебарики Хая – Охотский-Перевоз (а/д «Алдан») на участке км 11+591 – км 22+960 в Томпонском районе Республики Саха (Якутия)</t>
  </si>
  <si>
    <t>11+591</t>
  </si>
  <si>
    <t>22+960</t>
  </si>
  <si>
    <t>Расчет локальной сметы произведен стоимоть работ составила 89 424,4 тыс. рублей в том числе:
- 2022г. - 67 068,29 тыс. руб. (11,369 км)
- 2023г. - 22 356,11 тыс.руб. (0 км)</t>
  </si>
  <si>
    <t xml:space="preserve">Выполнение </t>
  </si>
  <si>
    <t>Освоение средств</t>
  </si>
  <si>
    <t>ФБ РФ</t>
  </si>
  <si>
    <t>ДФ РС(Я)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</si>
</sst>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-;\-* #,##0.00_-;_-* &quot;-&quot;??_-;_-@_-"/>
    <numFmt numFmtId="165" formatCode="[$-419]mmmm\ yyyy;@"/>
    <numFmt numFmtId="166" formatCode="#,##0.000"/>
    <numFmt numFmtId="167" formatCode="#,##0.00000"/>
    <numFmt numFmtId="168" formatCode="#,##0.0"/>
    <numFmt numFmtId="169" formatCode="_-* #,##0.00000_-;\-* #,##0.00000_-;_-* &quot;-&quot;??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12" fillId="0" borderId="0"/>
  </cellStyleXfs>
  <cellXfs count="183">
    <xf numFmtId="0" fontId="0" fillId="0" borderId="0" xfId="0"/>
    <xf numFmtId="164" fontId="7" fillId="3" borderId="3" xfId="1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4" fontId="7" fillId="4" borderId="3" xfId="1" applyFont="1" applyFill="1" applyBorder="1" applyAlignment="1">
      <alignment horizontal="center" vertical="center" wrapText="1"/>
    </xf>
    <xf numFmtId="164" fontId="7" fillId="4" borderId="3" xfId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14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vertical="center" wrapText="1"/>
    </xf>
    <xf numFmtId="164" fontId="9" fillId="6" borderId="3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164" fontId="7" fillId="7" borderId="1" xfId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64" fontId="7" fillId="0" borderId="1" xfId="1" applyFont="1" applyFill="1" applyBorder="1" applyAlignment="1">
      <alignment horizontal="center" vertical="center" wrapText="1"/>
    </xf>
    <xf numFmtId="0" fontId="8" fillId="3" borderId="0" xfId="0" applyFont="1" applyFill="1"/>
    <xf numFmtId="164" fontId="7" fillId="0" borderId="4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vertical="center" wrapText="1"/>
    </xf>
    <xf numFmtId="167" fontId="2" fillId="2" borderId="1" xfId="0" applyNumberFormat="1" applyFont="1" applyFill="1" applyBorder="1" applyAlignment="1">
      <alignment vertical="center" wrapText="1"/>
    </xf>
    <xf numFmtId="169" fontId="7" fillId="4" borderId="3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7" fillId="7" borderId="3" xfId="1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" fontId="7" fillId="3" borderId="3" xfId="0" applyNumberFormat="1" applyFont="1" applyFill="1" applyBorder="1" applyAlignment="1">
      <alignment horizontal="center" vertical="center" wrapText="1"/>
    </xf>
    <xf numFmtId="17" fontId="7" fillId="3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3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43" fontId="9" fillId="0" borderId="6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6" fillId="5" borderId="0" xfId="0" applyFont="1" applyFill="1" applyAlignment="1">
      <alignment vertical="center"/>
    </xf>
    <xf numFmtId="4" fontId="8" fillId="0" borderId="0" xfId="0" applyNumberFormat="1" applyFont="1"/>
    <xf numFmtId="167" fontId="8" fillId="2" borderId="0" xfId="0" applyNumberFormat="1" applyFont="1" applyFill="1"/>
    <xf numFmtId="43" fontId="8" fillId="2" borderId="0" xfId="0" applyNumberFormat="1" applyFont="1" applyFill="1"/>
    <xf numFmtId="4" fontId="8" fillId="2" borderId="0" xfId="0" applyNumberFormat="1" applyFont="1" applyFill="1"/>
    <xf numFmtId="0" fontId="8" fillId="2" borderId="0" xfId="0" applyFont="1" applyFill="1"/>
    <xf numFmtId="167" fontId="8" fillId="2" borderId="0" xfId="0" applyNumberFormat="1" applyFont="1" applyFill="1" applyAlignment="1">
      <alignment vertical="center"/>
    </xf>
    <xf numFmtId="167" fontId="8" fillId="0" borderId="0" xfId="0" applyNumberFormat="1" applyFont="1"/>
    <xf numFmtId="43" fontId="8" fillId="0" borderId="0" xfId="0" applyNumberFormat="1" applyFont="1"/>
    <xf numFmtId="168" fontId="17" fillId="0" borderId="0" xfId="0" applyNumberFormat="1" applyFont="1" applyFill="1" applyAlignment="1">
      <alignment vertical="center"/>
    </xf>
    <xf numFmtId="166" fontId="8" fillId="3" borderId="0" xfId="0" applyNumberFormat="1" applyFont="1" applyFill="1"/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43" fontId="8" fillId="3" borderId="0" xfId="0" applyNumberFormat="1" applyFont="1" applyFill="1"/>
    <xf numFmtId="0" fontId="8" fillId="5" borderId="0" xfId="0" applyFont="1" applyFill="1"/>
    <xf numFmtId="164" fontId="7" fillId="4" borderId="1" xfId="1" applyFont="1" applyFill="1" applyBorder="1" applyAlignment="1">
      <alignment vertical="center" wrapText="1"/>
    </xf>
    <xf numFmtId="17" fontId="7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18" fillId="4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17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17" fontId="7" fillId="3" borderId="3" xfId="0" applyNumberFormat="1" applyFont="1" applyFill="1" applyBorder="1" applyAlignment="1">
      <alignment horizontal="center" vertical="center" wrapText="1"/>
    </xf>
    <xf numFmtId="17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64" fontId="7" fillId="3" borderId="1" xfId="1" applyFont="1" applyFill="1" applyBorder="1" applyAlignment="1">
      <alignment horizontal="right" vertical="center" wrapText="1"/>
    </xf>
    <xf numFmtId="0" fontId="8" fillId="3" borderId="0" xfId="0" applyFont="1" applyFill="1" applyAlignment="1">
      <alignment wrapText="1"/>
    </xf>
    <xf numFmtId="0" fontId="18" fillId="0" borderId="0" xfId="0" applyFont="1" applyBorder="1" applyAlignment="1">
      <alignment wrapText="1"/>
    </xf>
    <xf numFmtId="164" fontId="7" fillId="8" borderId="3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17" fontId="7" fillId="3" borderId="3" xfId="0" applyNumberFormat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164" fontId="19" fillId="3" borderId="3" xfId="1" applyFont="1" applyFill="1" applyBorder="1" applyAlignment="1">
      <alignment vertical="center" wrapText="1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164" fontId="7" fillId="7" borderId="2" xfId="1" applyFont="1" applyFill="1" applyBorder="1" applyAlignment="1">
      <alignment horizontal="center" vertical="center" wrapText="1"/>
    </xf>
    <xf numFmtId="164" fontId="7" fillId="7" borderId="3" xfId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3" fontId="14" fillId="0" borderId="4" xfId="0" applyNumberFormat="1" applyFont="1" applyBorder="1" applyAlignment="1">
      <alignment horizontal="center"/>
    </xf>
    <xf numFmtId="43" fontId="14" fillId="0" borderId="5" xfId="0" applyNumberFormat="1" applyFont="1" applyBorder="1" applyAlignment="1">
      <alignment horizontal="center"/>
    </xf>
    <xf numFmtId="17" fontId="7" fillId="3" borderId="2" xfId="0" applyNumberFormat="1" applyFont="1" applyFill="1" applyBorder="1" applyAlignment="1">
      <alignment horizontal="center" vertical="center" wrapText="1"/>
    </xf>
    <xf numFmtId="17" fontId="7" fillId="3" borderId="3" xfId="0" applyNumberFormat="1" applyFont="1" applyFill="1" applyBorder="1" applyAlignment="1">
      <alignment horizontal="center" vertical="center" wrapText="1"/>
    </xf>
    <xf numFmtId="17" fontId="7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164" fontId="7" fillId="0" borderId="5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64" fontId="7" fillId="6" borderId="1" xfId="1" applyFont="1" applyFill="1" applyBorder="1" applyAlignment="1">
      <alignment horizontal="center" vertical="center" wrapText="1"/>
    </xf>
    <xf numFmtId="164" fontId="7" fillId="6" borderId="3" xfId="1" applyFont="1" applyFill="1" applyBorder="1" applyAlignment="1">
      <alignment horizontal="center" vertical="center" wrapText="1"/>
    </xf>
    <xf numFmtId="164" fontId="7" fillId="6" borderId="2" xfId="1" applyFont="1" applyFill="1" applyBorder="1" applyAlignment="1">
      <alignment horizontal="center" vertical="center" wrapText="1"/>
    </xf>
    <xf numFmtId="164" fontId="7" fillId="6" borderId="3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 2" xfId="4"/>
    <cellStyle name="Обычный 4" xfId="3"/>
    <cellStyle name="Обычный 5" xfId="2"/>
    <cellStyle name="Финансовый" xfId="1" builtinId="3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66"/>
  <sheetViews>
    <sheetView tabSelected="1" view="pageBreakPreview" topLeftCell="A5" zoomScale="70" zoomScaleNormal="70" zoomScaleSheetLayoutView="70" workbookViewId="0">
      <pane xSplit="2" ySplit="11" topLeftCell="C40" activePane="bottomRight" state="frozen"/>
      <selection activeCell="A5" sqref="A5"/>
      <selection pane="topRight" activeCell="C5" sqref="C5"/>
      <selection pane="bottomLeft" activeCell="A16" sqref="A16"/>
      <selection pane="bottomRight" activeCell="D31" sqref="D31"/>
    </sheetView>
  </sheetViews>
  <sheetFormatPr defaultRowHeight="15" x14ac:dyDescent="0.25"/>
  <cols>
    <col min="1" max="1" width="3.85546875" style="57" customWidth="1"/>
    <col min="2" max="2" width="53.5703125" style="57" customWidth="1"/>
    <col min="3" max="3" width="9.28515625" style="57" bestFit="1" customWidth="1"/>
    <col min="4" max="5" width="9.140625" style="57"/>
    <col min="6" max="6" width="10.28515625" style="57" customWidth="1"/>
    <col min="7" max="7" width="13" style="57" customWidth="1"/>
    <col min="8" max="8" width="16.7109375" style="57" customWidth="1"/>
    <col min="9" max="10" width="13.5703125" style="90" customWidth="1"/>
    <col min="11" max="11" width="15.42578125" style="90" customWidth="1"/>
    <col min="12" max="12" width="18.28515625" style="90" customWidth="1"/>
    <col min="13" max="15" width="16.140625" style="57" hidden="1" customWidth="1"/>
    <col min="16" max="16" width="13.140625" style="57" hidden="1" customWidth="1"/>
    <col min="17" max="17" width="14.5703125" style="57" hidden="1" customWidth="1"/>
    <col min="18" max="18" width="13" style="91" hidden="1" customWidth="1"/>
    <col min="19" max="19" width="13" style="90" hidden="1" customWidth="1"/>
    <col min="20" max="20" width="13" style="91" hidden="1" customWidth="1"/>
    <col min="21" max="21" width="13" style="90" hidden="1" customWidth="1"/>
    <col min="22" max="22" width="13" style="91" hidden="1" customWidth="1"/>
    <col min="23" max="23" width="13" style="90" hidden="1" customWidth="1"/>
    <col min="24" max="24" width="13" style="91" hidden="1" customWidth="1"/>
    <col min="25" max="25" width="13" style="90" hidden="1" customWidth="1"/>
    <col min="26" max="26" width="13" style="91" hidden="1" customWidth="1"/>
    <col min="27" max="27" width="13" style="90" hidden="1" customWidth="1"/>
    <col min="28" max="28" width="13" style="91" hidden="1" customWidth="1"/>
    <col min="29" max="29" width="13" style="90" hidden="1" customWidth="1"/>
    <col min="30" max="30" width="13" style="91" hidden="1" customWidth="1"/>
    <col min="31" max="31" width="13" style="90" hidden="1" customWidth="1"/>
    <col min="32" max="32" width="13" style="91" hidden="1" customWidth="1"/>
    <col min="33" max="33" width="13" style="90" hidden="1" customWidth="1"/>
    <col min="34" max="34" width="16.140625" style="57" hidden="1" customWidth="1"/>
    <col min="35" max="35" width="22.7109375" style="92" hidden="1" customWidth="1"/>
    <col min="36" max="37" width="13.42578125" style="57" hidden="1" customWidth="1"/>
    <col min="38" max="38" width="29.42578125" style="57" hidden="1" customWidth="1"/>
    <col min="39" max="40" width="15.5703125" style="57" hidden="1" customWidth="1"/>
    <col min="41" max="41" width="29.5703125" style="57" hidden="1" customWidth="1"/>
    <col min="42" max="44" width="15.5703125" style="57" hidden="1" customWidth="1"/>
    <col min="45" max="45" width="34.85546875" style="57" customWidth="1"/>
    <col min="46" max="46" width="27.5703125" style="57" customWidth="1"/>
    <col min="47" max="47" width="40.5703125" style="57" customWidth="1"/>
    <col min="48" max="48" width="15" style="57" bestFit="1" customWidth="1"/>
    <col min="49" max="49" width="17.7109375" style="57" customWidth="1"/>
    <col min="50" max="16384" width="9.140625" style="57"/>
  </cols>
  <sheetData>
    <row r="1" spans="1:49" ht="20.25" x14ac:dyDescent="0.3">
      <c r="A1" s="147" t="s">
        <v>109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9"/>
    </row>
    <row r="2" spans="1:49" ht="20.25" hidden="1" customHeight="1" x14ac:dyDescent="0.3">
      <c r="A2" s="58"/>
      <c r="B2" s="59" t="s">
        <v>171</v>
      </c>
      <c r="C2" s="60"/>
      <c r="D2" s="60"/>
      <c r="E2" s="60"/>
      <c r="F2" s="60"/>
      <c r="G2" s="61">
        <f>G14-217.48</f>
        <v>4.8969999999999914</v>
      </c>
      <c r="H2" s="159" t="s">
        <v>164</v>
      </c>
      <c r="I2" s="62" t="s">
        <v>165</v>
      </c>
      <c r="J2" s="62"/>
      <c r="K2" s="163"/>
      <c r="L2" s="163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  <c r="AS2" s="64" t="s">
        <v>166</v>
      </c>
    </row>
    <row r="3" spans="1:49" ht="20.25" hidden="1" customHeight="1" x14ac:dyDescent="0.3">
      <c r="A3" s="58"/>
      <c r="B3" s="60"/>
      <c r="C3" s="60"/>
      <c r="D3" s="60"/>
      <c r="E3" s="60"/>
      <c r="F3" s="60"/>
      <c r="G3" s="61"/>
      <c r="H3" s="160"/>
      <c r="I3" s="39">
        <v>185000</v>
      </c>
      <c r="J3" s="41"/>
      <c r="K3" s="164"/>
      <c r="L3" s="164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3"/>
      <c r="AP3" s="63"/>
      <c r="AQ3" s="63"/>
      <c r="AR3" s="63"/>
      <c r="AS3" s="39">
        <v>314664.02765</v>
      </c>
    </row>
    <row r="4" spans="1:49" ht="20.25" hidden="1" x14ac:dyDescent="0.3">
      <c r="A4" s="58"/>
      <c r="B4" s="60"/>
      <c r="C4" s="60"/>
      <c r="D4" s="60"/>
      <c r="E4" s="60"/>
      <c r="F4" s="60"/>
      <c r="G4" s="61"/>
      <c r="H4" s="38" t="s">
        <v>133</v>
      </c>
      <c r="I4" s="139">
        <f>I3</f>
        <v>185000</v>
      </c>
      <c r="J4" s="140"/>
      <c r="K4" s="65"/>
      <c r="L4" s="66" t="s">
        <v>167</v>
      </c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3"/>
      <c r="AP4" s="63"/>
      <c r="AQ4" s="63"/>
      <c r="AR4" s="63"/>
      <c r="AS4" s="67"/>
    </row>
    <row r="5" spans="1:49" ht="15.75" customHeight="1" x14ac:dyDescent="0.35">
      <c r="A5" s="68"/>
      <c r="B5" s="161" t="s">
        <v>158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69"/>
      <c r="O5" s="69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1"/>
      <c r="AP5" s="71"/>
      <c r="AQ5" s="71"/>
      <c r="AR5" s="71"/>
      <c r="AS5" s="72"/>
    </row>
    <row r="6" spans="1:49" ht="38.25" customHeight="1" x14ac:dyDescent="0.25">
      <c r="A6" s="150" t="s">
        <v>0</v>
      </c>
      <c r="B6" s="151" t="s">
        <v>1</v>
      </c>
      <c r="C6" s="151" t="s">
        <v>2</v>
      </c>
      <c r="D6" s="151" t="s">
        <v>3</v>
      </c>
      <c r="E6" s="151"/>
      <c r="F6" s="16" t="s">
        <v>108</v>
      </c>
      <c r="G6" s="46" t="s">
        <v>4</v>
      </c>
      <c r="H6" s="165" t="s">
        <v>105</v>
      </c>
      <c r="I6" s="166"/>
      <c r="J6" s="166"/>
      <c r="K6" s="166"/>
      <c r="L6" s="167"/>
      <c r="M6" s="37" t="s">
        <v>106</v>
      </c>
      <c r="N6" s="37" t="s">
        <v>107</v>
      </c>
      <c r="O6" s="144" t="s">
        <v>163</v>
      </c>
      <c r="P6" s="171" t="s">
        <v>145</v>
      </c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3"/>
      <c r="AH6" s="152" t="s">
        <v>78</v>
      </c>
      <c r="AI6" s="153" t="s">
        <v>5</v>
      </c>
      <c r="AJ6" s="153"/>
      <c r="AK6" s="153"/>
      <c r="AL6" s="153"/>
      <c r="AM6" s="154" t="s">
        <v>6</v>
      </c>
      <c r="AN6" s="154" t="s">
        <v>7</v>
      </c>
      <c r="AO6" s="155" t="s">
        <v>84</v>
      </c>
      <c r="AP6" s="135" t="s">
        <v>215</v>
      </c>
      <c r="AQ6" s="152" t="s">
        <v>216</v>
      </c>
      <c r="AR6" s="152"/>
      <c r="AS6" s="151" t="s">
        <v>8</v>
      </c>
      <c r="AT6" s="57">
        <v>-84672.38</v>
      </c>
    </row>
    <row r="7" spans="1:49" ht="15" customHeight="1" x14ac:dyDescent="0.25">
      <c r="A7" s="150"/>
      <c r="B7" s="151"/>
      <c r="C7" s="151"/>
      <c r="D7" s="151" t="s">
        <v>9</v>
      </c>
      <c r="E7" s="151" t="s">
        <v>10</v>
      </c>
      <c r="F7" s="151" t="s">
        <v>11</v>
      </c>
      <c r="G7" s="151" t="s">
        <v>11</v>
      </c>
      <c r="H7" s="135" t="s">
        <v>133</v>
      </c>
      <c r="I7" s="135" t="s">
        <v>134</v>
      </c>
      <c r="J7" s="135" t="s">
        <v>160</v>
      </c>
      <c r="K7" s="135" t="s">
        <v>134</v>
      </c>
      <c r="L7" s="135" t="s">
        <v>135</v>
      </c>
      <c r="M7" s="135" t="s">
        <v>77</v>
      </c>
      <c r="N7" s="135" t="s">
        <v>77</v>
      </c>
      <c r="O7" s="145"/>
      <c r="P7" s="137" t="s">
        <v>136</v>
      </c>
      <c r="Q7" s="138"/>
      <c r="R7" s="137" t="s">
        <v>137</v>
      </c>
      <c r="S7" s="138"/>
      <c r="T7" s="137" t="s">
        <v>138</v>
      </c>
      <c r="U7" s="138"/>
      <c r="V7" s="137" t="s">
        <v>139</v>
      </c>
      <c r="W7" s="138"/>
      <c r="X7" s="137" t="s">
        <v>140</v>
      </c>
      <c r="Y7" s="138"/>
      <c r="Z7" s="137" t="s">
        <v>141</v>
      </c>
      <c r="AA7" s="138" t="s">
        <v>139</v>
      </c>
      <c r="AB7" s="137" t="s">
        <v>142</v>
      </c>
      <c r="AC7" s="138" t="s">
        <v>141</v>
      </c>
      <c r="AD7" s="137" t="s">
        <v>143</v>
      </c>
      <c r="AE7" s="138" t="s">
        <v>143</v>
      </c>
      <c r="AF7" s="137" t="s">
        <v>144</v>
      </c>
      <c r="AG7" s="138" t="s">
        <v>144</v>
      </c>
      <c r="AH7" s="152"/>
      <c r="AI7" s="153"/>
      <c r="AJ7" s="153"/>
      <c r="AK7" s="153"/>
      <c r="AL7" s="153"/>
      <c r="AM7" s="154"/>
      <c r="AN7" s="154"/>
      <c r="AO7" s="156"/>
      <c r="AP7" s="162"/>
      <c r="AQ7" s="118"/>
      <c r="AR7" s="118"/>
      <c r="AS7" s="151"/>
    </row>
    <row r="8" spans="1:49" ht="16.5" customHeight="1" x14ac:dyDescent="0.25">
      <c r="A8" s="150"/>
      <c r="B8" s="151"/>
      <c r="C8" s="151"/>
      <c r="D8" s="151"/>
      <c r="E8" s="151"/>
      <c r="F8" s="151"/>
      <c r="G8" s="151"/>
      <c r="H8" s="136"/>
      <c r="I8" s="136"/>
      <c r="J8" s="136"/>
      <c r="K8" s="136"/>
      <c r="L8" s="136"/>
      <c r="M8" s="136"/>
      <c r="N8" s="136"/>
      <c r="O8" s="146"/>
      <c r="P8" s="29" t="s">
        <v>134</v>
      </c>
      <c r="Q8" s="29" t="s">
        <v>135</v>
      </c>
      <c r="R8" s="32" t="s">
        <v>134</v>
      </c>
      <c r="S8" s="52" t="s">
        <v>135</v>
      </c>
      <c r="T8" s="32" t="s">
        <v>134</v>
      </c>
      <c r="U8" s="52" t="s">
        <v>135</v>
      </c>
      <c r="V8" s="32" t="s">
        <v>134</v>
      </c>
      <c r="W8" s="52" t="s">
        <v>135</v>
      </c>
      <c r="X8" s="32" t="s">
        <v>134</v>
      </c>
      <c r="Y8" s="52" t="s">
        <v>135</v>
      </c>
      <c r="Z8" s="32" t="s">
        <v>134</v>
      </c>
      <c r="AA8" s="52" t="s">
        <v>135</v>
      </c>
      <c r="AB8" s="32" t="s">
        <v>134</v>
      </c>
      <c r="AC8" s="52" t="s">
        <v>135</v>
      </c>
      <c r="AD8" s="32" t="s">
        <v>134</v>
      </c>
      <c r="AE8" s="52" t="s">
        <v>135</v>
      </c>
      <c r="AF8" s="32" t="s">
        <v>134</v>
      </c>
      <c r="AG8" s="52" t="s">
        <v>135</v>
      </c>
      <c r="AH8" s="152"/>
      <c r="AI8" s="54" t="s">
        <v>12</v>
      </c>
      <c r="AJ8" s="54" t="s">
        <v>13</v>
      </c>
      <c r="AK8" s="152" t="s">
        <v>14</v>
      </c>
      <c r="AL8" s="152"/>
      <c r="AM8" s="154"/>
      <c r="AN8" s="154"/>
      <c r="AO8" s="157"/>
      <c r="AP8" s="136"/>
      <c r="AQ8" s="118" t="s">
        <v>217</v>
      </c>
      <c r="AR8" s="118" t="s">
        <v>218</v>
      </c>
      <c r="AS8" s="158"/>
    </row>
    <row r="9" spans="1:49" hidden="1" x14ac:dyDescent="0.25">
      <c r="A9" s="26"/>
      <c r="B9" s="27" t="s">
        <v>124</v>
      </c>
      <c r="C9" s="27"/>
      <c r="D9" s="27"/>
      <c r="E9" s="27"/>
      <c r="F9" s="28">
        <f>F11+F14</f>
        <v>260.916</v>
      </c>
      <c r="G9" s="28">
        <f>G11+G14</f>
        <v>222.37699999999998</v>
      </c>
      <c r="H9" s="28"/>
      <c r="I9" s="28"/>
      <c r="J9" s="28"/>
      <c r="K9" s="28"/>
      <c r="L9" s="28"/>
      <c r="M9" s="28">
        <f>M11+M14</f>
        <v>425399.80530000001</v>
      </c>
      <c r="N9" s="28">
        <f>N11+N14</f>
        <v>2230078.29</v>
      </c>
      <c r="O9" s="28">
        <f>O11+O14</f>
        <v>5725129.4991699997</v>
      </c>
      <c r="P9" s="28"/>
      <c r="Q9" s="28"/>
      <c r="R9" s="30"/>
      <c r="S9" s="28"/>
      <c r="T9" s="30"/>
      <c r="U9" s="28"/>
      <c r="V9" s="30"/>
      <c r="W9" s="28"/>
      <c r="X9" s="30"/>
      <c r="Y9" s="28"/>
      <c r="Z9" s="30"/>
      <c r="AA9" s="28"/>
      <c r="AB9" s="30"/>
      <c r="AC9" s="28"/>
      <c r="AD9" s="30"/>
      <c r="AE9" s="28"/>
      <c r="AF9" s="30"/>
      <c r="AG9" s="28"/>
      <c r="AH9" s="28">
        <f>AH11+AH14</f>
        <v>0</v>
      </c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</row>
    <row r="10" spans="1:49" hidden="1" x14ac:dyDescent="0.25">
      <c r="A10" s="168" t="s">
        <v>122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70"/>
    </row>
    <row r="11" spans="1:49" s="73" customFormat="1" hidden="1" x14ac:dyDescent="0.25">
      <c r="A11" s="17"/>
      <c r="B11" s="18" t="s">
        <v>76</v>
      </c>
      <c r="C11" s="17"/>
      <c r="D11" s="17"/>
      <c r="E11" s="17"/>
      <c r="F11" s="19">
        <f>F12</f>
        <v>8.1999999999999993</v>
      </c>
      <c r="G11" s="19">
        <f t="shared" ref="G11:O11" si="0">G12</f>
        <v>0</v>
      </c>
      <c r="H11" s="19"/>
      <c r="I11" s="34"/>
      <c r="J11" s="34"/>
      <c r="K11" s="34"/>
      <c r="L11" s="34"/>
      <c r="M11" s="19">
        <f t="shared" si="0"/>
        <v>230600.7</v>
      </c>
      <c r="N11" s="19">
        <f t="shared" si="0"/>
        <v>1920485.7</v>
      </c>
      <c r="O11" s="19">
        <f t="shared" si="0"/>
        <v>1920485.7</v>
      </c>
      <c r="P11" s="19"/>
      <c r="Q11" s="19"/>
      <c r="R11" s="33"/>
      <c r="S11" s="34"/>
      <c r="T11" s="33"/>
      <c r="U11" s="34"/>
      <c r="V11" s="33"/>
      <c r="W11" s="34"/>
      <c r="X11" s="33"/>
      <c r="Y11" s="34"/>
      <c r="Z11" s="33"/>
      <c r="AA11" s="34"/>
      <c r="AB11" s="33"/>
      <c r="AC11" s="34"/>
      <c r="AD11" s="33"/>
      <c r="AE11" s="34"/>
      <c r="AF11" s="33"/>
      <c r="AG11" s="34"/>
      <c r="AH11" s="19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</row>
    <row r="12" spans="1:49" ht="51" hidden="1" x14ac:dyDescent="0.25">
      <c r="A12" s="21">
        <v>1</v>
      </c>
      <c r="B12" s="21" t="s">
        <v>118</v>
      </c>
      <c r="C12" s="21">
        <v>1</v>
      </c>
      <c r="D12" s="21" t="s">
        <v>119</v>
      </c>
      <c r="E12" s="21" t="s">
        <v>120</v>
      </c>
      <c r="F12" s="21">
        <v>8.1999999999999993</v>
      </c>
      <c r="G12" s="21">
        <v>0</v>
      </c>
      <c r="H12" s="21"/>
      <c r="I12" s="22"/>
      <c r="J12" s="22"/>
      <c r="K12" s="22"/>
      <c r="L12" s="22"/>
      <c r="M12" s="22">
        <v>230600.7</v>
      </c>
      <c r="N12" s="22">
        <f>1265859+654626.7</f>
        <v>1920485.7</v>
      </c>
      <c r="O12" s="22">
        <f>1265859+654626.7</f>
        <v>1920485.7</v>
      </c>
      <c r="P12" s="22"/>
      <c r="Q12" s="22"/>
      <c r="R12" s="31"/>
      <c r="S12" s="22"/>
      <c r="T12" s="31"/>
      <c r="U12" s="22"/>
      <c r="V12" s="31"/>
      <c r="W12" s="22"/>
      <c r="X12" s="31"/>
      <c r="Y12" s="22"/>
      <c r="Z12" s="31"/>
      <c r="AA12" s="22"/>
      <c r="AB12" s="31"/>
      <c r="AC12" s="22"/>
      <c r="AD12" s="31"/>
      <c r="AE12" s="22"/>
      <c r="AF12" s="31"/>
      <c r="AG12" s="22"/>
      <c r="AH12" s="23" t="s">
        <v>22</v>
      </c>
      <c r="AI12" s="23"/>
      <c r="AJ12" s="23"/>
      <c r="AK12" s="23"/>
      <c r="AL12" s="23"/>
      <c r="AM12" s="24"/>
      <c r="AN12" s="24"/>
      <c r="AO12" s="25"/>
      <c r="AP12" s="25"/>
      <c r="AQ12" s="25"/>
      <c r="AR12" s="25"/>
      <c r="AS12" s="21" t="s">
        <v>121</v>
      </c>
    </row>
    <row r="13" spans="1:49" x14ac:dyDescent="0.25">
      <c r="A13" s="150" t="s">
        <v>123</v>
      </c>
      <c r="B13" s="150" t="s">
        <v>16</v>
      </c>
      <c r="C13" s="150"/>
      <c r="D13" s="150"/>
      <c r="E13" s="150"/>
      <c r="F13" s="150">
        <f>SUM(F34:F38)</f>
        <v>52</v>
      </c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>
        <f>SUM(AH17:AH38)</f>
        <v>0</v>
      </c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</row>
    <row r="14" spans="1:49" x14ac:dyDescent="0.25">
      <c r="A14" s="26"/>
      <c r="B14" s="27" t="s">
        <v>15</v>
      </c>
      <c r="C14" s="27"/>
      <c r="D14" s="27"/>
      <c r="E14" s="27"/>
      <c r="F14" s="28">
        <f t="shared" ref="F14:K14" si="1">F16+F43+F47</f>
        <v>252.71599999999998</v>
      </c>
      <c r="G14" s="28">
        <f t="shared" si="1"/>
        <v>222.37699999999998</v>
      </c>
      <c r="H14" s="28">
        <f t="shared" si="1"/>
        <v>4122821.0887400005</v>
      </c>
      <c r="I14" s="28">
        <f t="shared" si="1"/>
        <v>1325486.3012699999</v>
      </c>
      <c r="J14" s="28">
        <f t="shared" si="1"/>
        <v>13388.757299999999</v>
      </c>
      <c r="K14" s="28">
        <f t="shared" si="1"/>
        <v>1795285.2045650003</v>
      </c>
      <c r="L14" s="28">
        <f>L16+L43+L47</f>
        <v>988660.82560500014</v>
      </c>
      <c r="M14" s="28">
        <f t="shared" ref="M14:AR14" si="2">M16+M43+M47</f>
        <v>194799.1053</v>
      </c>
      <c r="N14" s="28">
        <f t="shared" si="2"/>
        <v>309592.59000000003</v>
      </c>
      <c r="O14" s="28">
        <f t="shared" si="2"/>
        <v>3804643.79917</v>
      </c>
      <c r="P14" s="28">
        <f t="shared" si="2"/>
        <v>0</v>
      </c>
      <c r="Q14" s="28">
        <f t="shared" si="2"/>
        <v>0</v>
      </c>
      <c r="R14" s="28">
        <f t="shared" si="2"/>
        <v>0</v>
      </c>
      <c r="S14" s="28">
        <f t="shared" si="2"/>
        <v>39965.772190000003</v>
      </c>
      <c r="T14" s="28">
        <f t="shared" si="2"/>
        <v>0</v>
      </c>
      <c r="U14" s="28" t="e">
        <f t="shared" si="2"/>
        <v>#REF!</v>
      </c>
      <c r="V14" s="28">
        <f t="shared" si="2"/>
        <v>27423.256047500003</v>
      </c>
      <c r="W14" s="28">
        <f t="shared" si="2"/>
        <v>26424.462736666675</v>
      </c>
      <c r="X14" s="28">
        <f t="shared" si="2"/>
        <v>103950.44950333334</v>
      </c>
      <c r="Y14" s="28">
        <f t="shared" si="2"/>
        <v>90264.022196666687</v>
      </c>
      <c r="Z14" s="28" t="e">
        <f t="shared" si="2"/>
        <v>#REF!</v>
      </c>
      <c r="AA14" s="28">
        <f t="shared" si="2"/>
        <v>152162.28118999998</v>
      </c>
      <c r="AB14" s="28" t="e">
        <f t="shared" si="2"/>
        <v>#REF!</v>
      </c>
      <c r="AC14" s="28">
        <f t="shared" si="2"/>
        <v>141050.30031000002</v>
      </c>
      <c r="AD14" s="28">
        <f t="shared" si="2"/>
        <v>321431.52520999999</v>
      </c>
      <c r="AE14" s="28">
        <f t="shared" si="2"/>
        <v>29265.598609999997</v>
      </c>
      <c r="AF14" s="28">
        <f t="shared" si="2"/>
        <v>44703.264719999999</v>
      </c>
      <c r="AG14" s="28">
        <f t="shared" si="2"/>
        <v>23229.230589999999</v>
      </c>
      <c r="AH14" s="28">
        <f t="shared" si="2"/>
        <v>0</v>
      </c>
      <c r="AI14" s="28" t="e">
        <f t="shared" si="2"/>
        <v>#VALUE!</v>
      </c>
      <c r="AJ14" s="28">
        <f t="shared" si="2"/>
        <v>221496</v>
      </c>
      <c r="AK14" s="28">
        <f t="shared" si="2"/>
        <v>221724</v>
      </c>
      <c r="AL14" s="28">
        <f t="shared" si="2"/>
        <v>89155</v>
      </c>
      <c r="AM14" s="28" t="e">
        <f t="shared" si="2"/>
        <v>#VALUE!</v>
      </c>
      <c r="AN14" s="28" t="e">
        <f t="shared" si="2"/>
        <v>#VALUE!</v>
      </c>
      <c r="AO14" s="28" t="e">
        <f t="shared" si="2"/>
        <v>#VALUE!</v>
      </c>
      <c r="AP14" s="28">
        <f t="shared" si="2"/>
        <v>92466.69846</v>
      </c>
      <c r="AQ14" s="28">
        <f t="shared" si="2"/>
        <v>7096.4614199999996</v>
      </c>
      <c r="AR14" s="28">
        <f t="shared" si="2"/>
        <v>23970.5069</v>
      </c>
      <c r="AS14" s="28"/>
      <c r="AT14" s="74">
        <v>13388.7530993</v>
      </c>
    </row>
    <row r="15" spans="1:49" s="78" customFormat="1" ht="45" hidden="1" customHeight="1" x14ac:dyDescent="0.25">
      <c r="A15" s="42"/>
      <c r="B15" s="42" t="s">
        <v>16</v>
      </c>
      <c r="C15" s="42"/>
      <c r="D15" s="42"/>
      <c r="E15" s="42"/>
      <c r="F15" s="42">
        <f>SUM(F33:F45)</f>
        <v>99.21899999999998</v>
      </c>
      <c r="G15" s="42"/>
      <c r="H15" s="42"/>
      <c r="I15" s="42"/>
      <c r="J15" s="42"/>
      <c r="K15" s="43"/>
      <c r="L15" s="4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4"/>
      <c r="AT15" s="75">
        <f>K15-K14</f>
        <v>-1795285.2045650003</v>
      </c>
      <c r="AU15" s="76">
        <v>526840.50082000007</v>
      </c>
      <c r="AV15" s="76">
        <f>I16-AT15</f>
        <v>3120771.5058350004</v>
      </c>
      <c r="AW15" s="77">
        <f>J14-AT14</f>
        <v>4.2006999992736382E-3</v>
      </c>
    </row>
    <row r="16" spans="1:49" s="73" customFormat="1" x14ac:dyDescent="0.25">
      <c r="A16" s="17"/>
      <c r="B16" s="18" t="s">
        <v>76</v>
      </c>
      <c r="C16" s="17"/>
      <c r="D16" s="17"/>
      <c r="E16" s="17"/>
      <c r="F16" s="19">
        <f>SUM(F17:F41)</f>
        <v>230.90899999999999</v>
      </c>
      <c r="G16" s="19">
        <f t="shared" ref="G16:AR16" si="3">SUM(G17:G41)</f>
        <v>213.54</v>
      </c>
      <c r="H16" s="19">
        <f>SUM(H17:H41)</f>
        <v>2396608.9397400003</v>
      </c>
      <c r="I16" s="19">
        <f t="shared" si="3"/>
        <v>1325486.3012699999</v>
      </c>
      <c r="J16" s="19">
        <f t="shared" si="3"/>
        <v>13388.757299999999</v>
      </c>
      <c r="K16" s="19">
        <f t="shared" si="3"/>
        <v>606088.60456500005</v>
      </c>
      <c r="L16" s="19">
        <f t="shared" si="3"/>
        <v>451645.27660500002</v>
      </c>
      <c r="M16" s="19">
        <f>SUM(M17:M41)</f>
        <v>54422.105299999996</v>
      </c>
      <c r="N16" s="19">
        <f t="shared" si="3"/>
        <v>0</v>
      </c>
      <c r="O16" s="19">
        <f>SUM(O17:O41)</f>
        <v>2451031.0450400002</v>
      </c>
      <c r="P16" s="19">
        <f t="shared" si="3"/>
        <v>0</v>
      </c>
      <c r="Q16" s="19">
        <f t="shared" si="3"/>
        <v>0</v>
      </c>
      <c r="R16" s="19">
        <f t="shared" si="3"/>
        <v>0</v>
      </c>
      <c r="S16" s="19">
        <f t="shared" si="3"/>
        <v>39965.772190000003</v>
      </c>
      <c r="T16" s="19">
        <f t="shared" si="3"/>
        <v>0</v>
      </c>
      <c r="U16" s="19" t="e">
        <f t="shared" si="3"/>
        <v>#REF!</v>
      </c>
      <c r="V16" s="19">
        <f t="shared" si="3"/>
        <v>27423.256047500003</v>
      </c>
      <c r="W16" s="19">
        <f t="shared" si="3"/>
        <v>26424.462736666675</v>
      </c>
      <c r="X16" s="19">
        <f t="shared" si="3"/>
        <v>103950.44950333334</v>
      </c>
      <c r="Y16" s="19">
        <f t="shared" si="3"/>
        <v>90264.022196666687</v>
      </c>
      <c r="Z16" s="19" t="e">
        <f t="shared" si="3"/>
        <v>#REF!</v>
      </c>
      <c r="AA16" s="19">
        <f t="shared" si="3"/>
        <v>152162.28118999998</v>
      </c>
      <c r="AB16" s="19" t="e">
        <f t="shared" si="3"/>
        <v>#REF!</v>
      </c>
      <c r="AC16" s="19">
        <f t="shared" si="3"/>
        <v>141050.30031000002</v>
      </c>
      <c r="AD16" s="19">
        <f t="shared" si="3"/>
        <v>321431.52520999999</v>
      </c>
      <c r="AE16" s="19">
        <f t="shared" si="3"/>
        <v>29265.598609999997</v>
      </c>
      <c r="AF16" s="19">
        <f t="shared" si="3"/>
        <v>44703.264719999999</v>
      </c>
      <c r="AG16" s="19">
        <f t="shared" si="3"/>
        <v>23229.230589999999</v>
      </c>
      <c r="AH16" s="19">
        <f t="shared" si="3"/>
        <v>0</v>
      </c>
      <c r="AI16" s="19">
        <f t="shared" si="3"/>
        <v>0</v>
      </c>
      <c r="AJ16" s="19">
        <f t="shared" si="3"/>
        <v>177118</v>
      </c>
      <c r="AK16" s="19">
        <f t="shared" si="3"/>
        <v>177131</v>
      </c>
      <c r="AL16" s="19">
        <f t="shared" si="3"/>
        <v>44562</v>
      </c>
      <c r="AM16" s="19">
        <f t="shared" si="3"/>
        <v>533915</v>
      </c>
      <c r="AN16" s="19">
        <f t="shared" si="3"/>
        <v>623095</v>
      </c>
      <c r="AO16" s="19">
        <f t="shared" si="3"/>
        <v>0</v>
      </c>
      <c r="AP16" s="19">
        <f>SUM(AP17:AP41)</f>
        <v>92466.69846</v>
      </c>
      <c r="AQ16" s="19">
        <f t="shared" si="3"/>
        <v>7096.4614199999996</v>
      </c>
      <c r="AR16" s="19">
        <f t="shared" si="3"/>
        <v>23970.5069</v>
      </c>
      <c r="AS16" s="17"/>
    </row>
    <row r="17" spans="1:49" ht="50.25" customHeight="1" x14ac:dyDescent="0.25">
      <c r="A17" s="10">
        <v>1</v>
      </c>
      <c r="B17" s="10" t="s">
        <v>17</v>
      </c>
      <c r="C17" s="10">
        <v>1</v>
      </c>
      <c r="D17" s="13" t="s">
        <v>18</v>
      </c>
      <c r="E17" s="13" t="s">
        <v>19</v>
      </c>
      <c r="F17" s="11">
        <v>7</v>
      </c>
      <c r="G17" s="13">
        <v>7</v>
      </c>
      <c r="H17" s="13">
        <f t="shared" ref="H17:H23" si="4">I17+J17+K17+L17</f>
        <v>72939.459709999996</v>
      </c>
      <c r="I17" s="13">
        <v>72210.065109999996</v>
      </c>
      <c r="J17" s="179">
        <v>729.39459999999997</v>
      </c>
      <c r="K17" s="13"/>
      <c r="L17" s="13"/>
      <c r="M17" s="13"/>
      <c r="N17" s="13"/>
      <c r="O17" s="13">
        <f t="shared" ref="O17:O41" si="5">H17+M17+N17</f>
        <v>72939.459709999996</v>
      </c>
      <c r="P17" s="13"/>
      <c r="Q17" s="13"/>
      <c r="R17" s="31"/>
      <c r="S17" s="13"/>
      <c r="T17" s="31"/>
      <c r="U17" s="13"/>
      <c r="V17" s="31">
        <v>18034.864927499999</v>
      </c>
      <c r="W17" s="13">
        <v>800</v>
      </c>
      <c r="X17" s="31">
        <v>20000</v>
      </c>
      <c r="Y17" s="13"/>
      <c r="Z17" s="31" t="e">
        <f>#REF!-V17-X17</f>
        <v>#REF!</v>
      </c>
      <c r="AA17" s="13"/>
      <c r="AB17" s="31"/>
      <c r="AC17" s="13"/>
      <c r="AD17" s="31"/>
      <c r="AE17" s="13"/>
      <c r="AF17" s="31"/>
      <c r="AG17" s="13"/>
      <c r="AH17" s="13"/>
      <c r="AI17" s="10" t="s">
        <v>20</v>
      </c>
      <c r="AJ17" s="56" t="s">
        <v>21</v>
      </c>
      <c r="AK17" s="56" t="s">
        <v>22</v>
      </c>
      <c r="AL17" s="56" t="s">
        <v>23</v>
      </c>
      <c r="AM17" s="2"/>
      <c r="AN17" s="2">
        <v>44407</v>
      </c>
      <c r="AO17" s="2" t="s">
        <v>85</v>
      </c>
      <c r="AP17" s="119">
        <f>21313194.05/1000</f>
        <v>21313.194050000002</v>
      </c>
      <c r="AQ17" s="119"/>
      <c r="AR17" s="119"/>
      <c r="AS17" s="110" t="s">
        <v>24</v>
      </c>
      <c r="AT17" s="79">
        <f>185+1525-317</f>
        <v>1393</v>
      </c>
    </row>
    <row r="18" spans="1:49" ht="50.25" customHeight="1" x14ac:dyDescent="0.25">
      <c r="A18" s="48">
        <v>2</v>
      </c>
      <c r="B18" s="10" t="s">
        <v>25</v>
      </c>
      <c r="C18" s="10">
        <v>2</v>
      </c>
      <c r="D18" s="13" t="s">
        <v>26</v>
      </c>
      <c r="E18" s="13" t="s">
        <v>27</v>
      </c>
      <c r="F18" s="11">
        <v>2</v>
      </c>
      <c r="G18" s="11">
        <v>2</v>
      </c>
      <c r="H18" s="13">
        <f t="shared" si="4"/>
        <v>23875.6895</v>
      </c>
      <c r="I18" s="13">
        <v>23636.93</v>
      </c>
      <c r="J18" s="179">
        <v>238.75950000000012</v>
      </c>
      <c r="K18" s="13"/>
      <c r="L18" s="13"/>
      <c r="M18" s="51"/>
      <c r="N18" s="51"/>
      <c r="O18" s="51">
        <f t="shared" si="5"/>
        <v>23875.6895</v>
      </c>
      <c r="P18" s="51"/>
      <c r="Q18" s="51"/>
      <c r="R18" s="49"/>
      <c r="S18" s="51"/>
      <c r="T18" s="49"/>
      <c r="U18" s="51"/>
      <c r="V18" s="49"/>
      <c r="W18" s="51"/>
      <c r="X18" s="49"/>
      <c r="Y18" s="51">
        <f>5665776.94/1000</f>
        <v>5665.7769400000006</v>
      </c>
      <c r="Z18" s="49"/>
      <c r="AA18" s="51">
        <f>6155575.56/1000</f>
        <v>6155.5755599999993</v>
      </c>
      <c r="AB18" s="49"/>
      <c r="AC18" s="51">
        <f>5526320.57/1000</f>
        <v>5526.3205699999999</v>
      </c>
      <c r="AD18" s="49"/>
      <c r="AE18" s="51">
        <f>6528016.43/1000</f>
        <v>6528.0164299999997</v>
      </c>
      <c r="AF18" s="49"/>
      <c r="AG18" s="51"/>
      <c r="AH18" s="13"/>
      <c r="AI18" s="48" t="s">
        <v>28</v>
      </c>
      <c r="AJ18" s="48" t="s">
        <v>21</v>
      </c>
      <c r="AK18" s="48" t="s">
        <v>22</v>
      </c>
      <c r="AL18" s="55" t="s">
        <v>29</v>
      </c>
      <c r="AM18" s="53"/>
      <c r="AN18" s="53">
        <v>44418</v>
      </c>
      <c r="AO18" s="2" t="s">
        <v>85</v>
      </c>
      <c r="AP18" s="119"/>
      <c r="AQ18" s="119"/>
      <c r="AR18" s="119"/>
      <c r="AS18" s="108" t="s">
        <v>30</v>
      </c>
      <c r="AT18" s="80">
        <f>J14+L14</f>
        <v>1002049.5829050002</v>
      </c>
      <c r="AU18" s="80">
        <v>84154.189889999994</v>
      </c>
      <c r="AV18" s="80">
        <v>15000</v>
      </c>
      <c r="AW18" s="80">
        <v>24567.813300000002</v>
      </c>
    </row>
    <row r="19" spans="1:49" ht="42" customHeight="1" x14ac:dyDescent="0.25">
      <c r="A19" s="48">
        <v>3</v>
      </c>
      <c r="B19" s="48" t="s">
        <v>31</v>
      </c>
      <c r="C19" s="48">
        <v>3</v>
      </c>
      <c r="D19" s="51" t="s">
        <v>32</v>
      </c>
      <c r="E19" s="51" t="s">
        <v>33</v>
      </c>
      <c r="F19" s="1">
        <v>2</v>
      </c>
      <c r="G19" s="1">
        <v>2</v>
      </c>
      <c r="H19" s="13">
        <f t="shared" si="4"/>
        <v>21935.178</v>
      </c>
      <c r="I19" s="13">
        <v>21715.826219999999</v>
      </c>
      <c r="J19" s="179">
        <v>219.35177999999999</v>
      </c>
      <c r="K19" s="13"/>
      <c r="L19" s="13"/>
      <c r="M19" s="51"/>
      <c r="N19" s="40"/>
      <c r="O19" s="121">
        <f t="shared" si="5"/>
        <v>21935.178</v>
      </c>
      <c r="P19" s="51"/>
      <c r="Q19" s="51"/>
      <c r="R19" s="49"/>
      <c r="S19" s="51"/>
      <c r="T19" s="49"/>
      <c r="U19" s="51"/>
      <c r="V19" s="49"/>
      <c r="W19" s="51"/>
      <c r="X19" s="49"/>
      <c r="Y19" s="51">
        <f>666487.93/1000</f>
        <v>666.48793000000001</v>
      </c>
      <c r="Z19" s="49"/>
      <c r="AA19" s="51">
        <f>21223050.11/1000</f>
        <v>21223.05011</v>
      </c>
      <c r="AB19" s="49"/>
      <c r="AC19" s="51">
        <f>45639.59/1000</f>
        <v>45.639589999999998</v>
      </c>
      <c r="AD19" s="49"/>
      <c r="AE19" s="51"/>
      <c r="AF19" s="49"/>
      <c r="AG19" s="51"/>
      <c r="AH19" s="13"/>
      <c r="AI19" s="48" t="s">
        <v>34</v>
      </c>
      <c r="AJ19" s="48" t="s">
        <v>22</v>
      </c>
      <c r="AK19" s="48"/>
      <c r="AL19" s="55" t="s">
        <v>22</v>
      </c>
      <c r="AM19" s="53">
        <v>44420</v>
      </c>
      <c r="AN19" s="53">
        <v>44448</v>
      </c>
      <c r="AO19" s="53" t="s">
        <v>86</v>
      </c>
      <c r="AP19" s="119"/>
      <c r="AQ19" s="119"/>
      <c r="AR19" s="119"/>
      <c r="AS19" s="108" t="s">
        <v>75</v>
      </c>
      <c r="AT19" s="20">
        <f>2258554332.38+250000000</f>
        <v>2508554332.3800001</v>
      </c>
      <c r="AU19" s="81">
        <f>2390403425.96-AT19</f>
        <v>-118150906.42000008</v>
      </c>
    </row>
    <row r="20" spans="1:49" s="40" customFormat="1" ht="27" customHeight="1" x14ac:dyDescent="0.25">
      <c r="A20" s="48">
        <v>4</v>
      </c>
      <c r="B20" s="10" t="s">
        <v>64</v>
      </c>
      <c r="C20" s="10">
        <v>4</v>
      </c>
      <c r="D20" s="10" t="s">
        <v>65</v>
      </c>
      <c r="E20" s="10" t="s">
        <v>66</v>
      </c>
      <c r="F20" s="11">
        <v>5</v>
      </c>
      <c r="G20" s="11">
        <v>5</v>
      </c>
      <c r="H20" s="13">
        <f t="shared" si="4"/>
        <v>38576.532469999998</v>
      </c>
      <c r="I20" s="13">
        <v>38197.812239999999</v>
      </c>
      <c r="J20" s="179">
        <v>378.72023000000002</v>
      </c>
      <c r="K20" s="13"/>
      <c r="L20" s="13"/>
      <c r="M20" s="11"/>
      <c r="N20" s="11"/>
      <c r="O20" s="11">
        <f t="shared" si="5"/>
        <v>38576.532469999998</v>
      </c>
      <c r="P20" s="11"/>
      <c r="Q20" s="11"/>
      <c r="R20" s="31"/>
      <c r="S20" s="13"/>
      <c r="T20" s="31"/>
      <c r="U20" s="13"/>
      <c r="V20" s="31">
        <f>(156940.64+8802912.1-3000000-2500000)/1000-400</f>
        <v>3059.8527400000003</v>
      </c>
      <c r="W20" s="13">
        <v>400</v>
      </c>
      <c r="X20" s="31">
        <f>(613145.3+5868608.06+2500000)/1000</f>
        <v>8981.7533599999988</v>
      </c>
      <c r="Y20" s="13"/>
      <c r="Z20" s="31">
        <f>(5107054.78+5868608.06+3000000)/1000</f>
        <v>13975.662839999999</v>
      </c>
      <c r="AA20" s="13"/>
      <c r="AB20" s="31">
        <f>12159263.53/1000</f>
        <v>12159.26353</v>
      </c>
      <c r="AC20" s="13"/>
      <c r="AD20" s="31"/>
      <c r="AE20" s="13"/>
      <c r="AF20" s="31"/>
      <c r="AG20" s="13"/>
      <c r="AH20" s="13"/>
      <c r="AI20" s="126" t="s">
        <v>67</v>
      </c>
      <c r="AJ20" s="141" t="s">
        <v>21</v>
      </c>
      <c r="AK20" s="143"/>
      <c r="AL20" s="141" t="s">
        <v>68</v>
      </c>
      <c r="AM20" s="133">
        <v>44426</v>
      </c>
      <c r="AN20" s="133">
        <v>44455</v>
      </c>
      <c r="AO20" s="2" t="s">
        <v>85</v>
      </c>
      <c r="AP20" s="119"/>
      <c r="AQ20" s="119"/>
      <c r="AR20" s="119"/>
      <c r="AS20" s="126" t="s">
        <v>101</v>
      </c>
    </row>
    <row r="21" spans="1:49" s="40" customFormat="1" ht="23.25" customHeight="1" x14ac:dyDescent="0.25">
      <c r="A21" s="48">
        <v>5</v>
      </c>
      <c r="B21" s="10" t="s">
        <v>69</v>
      </c>
      <c r="C21" s="10">
        <v>5</v>
      </c>
      <c r="D21" s="10" t="s">
        <v>70</v>
      </c>
      <c r="E21" s="10" t="s">
        <v>71</v>
      </c>
      <c r="F21" s="11">
        <v>9.7200000000000006</v>
      </c>
      <c r="G21" s="11">
        <v>9.7200000000000006</v>
      </c>
      <c r="H21" s="13">
        <f t="shared" si="4"/>
        <v>79295.490160000001</v>
      </c>
      <c r="I21" s="13">
        <v>78495.490160000001</v>
      </c>
      <c r="J21" s="179">
        <v>800</v>
      </c>
      <c r="K21" s="13"/>
      <c r="L21" s="13"/>
      <c r="M21" s="11"/>
      <c r="N21" s="11"/>
      <c r="O21" s="11">
        <f t="shared" si="5"/>
        <v>79295.490160000001</v>
      </c>
      <c r="P21" s="11"/>
      <c r="Q21" s="11"/>
      <c r="R21" s="31"/>
      <c r="S21" s="13"/>
      <c r="T21" s="31"/>
      <c r="U21" s="13"/>
      <c r="V21" s="31">
        <f>(31239.12+18660194.99-6000000-3000000-5000000)/1000-800</f>
        <v>3891.4341099999992</v>
      </c>
      <c r="W21" s="13">
        <v>800</v>
      </c>
      <c r="X21" s="31">
        <f>(1741893.94+8293419.99333333)/1000</f>
        <v>10035.313933333329</v>
      </c>
      <c r="Y21" s="13"/>
      <c r="Z21" s="31">
        <f>(8844324.77+8293419.99333333+6000000+3000000+2500000)/1000</f>
        <v>28637.744763333329</v>
      </c>
      <c r="AA21" s="13"/>
      <c r="AB21" s="31">
        <f>(25137577.36+8293419.99333333+2500000)/1000</f>
        <v>35930.997353333332</v>
      </c>
      <c r="AC21" s="13"/>
      <c r="AD21" s="31"/>
      <c r="AE21" s="13"/>
      <c r="AF21" s="31"/>
      <c r="AG21" s="13"/>
      <c r="AH21" s="13"/>
      <c r="AI21" s="128"/>
      <c r="AJ21" s="142"/>
      <c r="AK21" s="143"/>
      <c r="AL21" s="142"/>
      <c r="AM21" s="134"/>
      <c r="AN21" s="134"/>
      <c r="AO21" s="2" t="s">
        <v>85</v>
      </c>
      <c r="AP21" s="119"/>
      <c r="AQ21" s="119"/>
      <c r="AR21" s="119"/>
      <c r="AS21" s="128"/>
      <c r="AT21" s="82">
        <v>804488.4</v>
      </c>
      <c r="AU21" s="83">
        <f>AT21-AT18-AU18-AV18-AW18</f>
        <v>-321283.18609500013</v>
      </c>
    </row>
    <row r="22" spans="1:49" s="40" customFormat="1" ht="51.75" customHeight="1" x14ac:dyDescent="0.25">
      <c r="A22" s="48">
        <v>6</v>
      </c>
      <c r="B22" s="48" t="s">
        <v>35</v>
      </c>
      <c r="C22" s="48">
        <v>6</v>
      </c>
      <c r="D22" s="51" t="s">
        <v>39</v>
      </c>
      <c r="E22" s="51" t="s">
        <v>40</v>
      </c>
      <c r="F22" s="1">
        <v>15.41</v>
      </c>
      <c r="G22" s="1">
        <v>15.41</v>
      </c>
      <c r="H22" s="13">
        <f t="shared" si="4"/>
        <v>163412.88193</v>
      </c>
      <c r="I22" s="13"/>
      <c r="J22" s="13"/>
      <c r="K22" s="13">
        <f>137529901.52/1000</f>
        <v>137529.90152000001</v>
      </c>
      <c r="L22" s="179">
        <f>25882980.41/1000</f>
        <v>25882.98041</v>
      </c>
      <c r="M22" s="51"/>
      <c r="N22" s="51"/>
      <c r="O22" s="51">
        <f t="shared" si="5"/>
        <v>163412.88193</v>
      </c>
      <c r="P22" s="51"/>
      <c r="Q22" s="51"/>
      <c r="R22" s="49"/>
      <c r="S22" s="51">
        <f>12492754.33/1000</f>
        <v>12492.75433</v>
      </c>
      <c r="T22" s="49"/>
      <c r="U22" s="51">
        <f>13390226.08/1000</f>
        <v>13390.22608</v>
      </c>
      <c r="V22" s="49"/>
      <c r="W22" s="51">
        <f>2623921.1/1000</f>
        <v>2623.9211</v>
      </c>
      <c r="X22" s="49"/>
      <c r="Y22" s="51">
        <f>16657005.3/1000</f>
        <v>16657.005300000001</v>
      </c>
      <c r="Z22" s="49"/>
      <c r="AA22" s="51">
        <f>47754012.76/1000</f>
        <v>47754.012759999998</v>
      </c>
      <c r="AB22" s="49"/>
      <c r="AC22" s="51">
        <f>26607116.13/1000</f>
        <v>26607.116129999999</v>
      </c>
      <c r="AD22" s="49"/>
      <c r="AE22" s="51">
        <f>20658615.64/1000</f>
        <v>20658.61564</v>
      </c>
      <c r="AF22" s="49"/>
      <c r="AG22" s="51">
        <f>23229230.59/1000</f>
        <v>23229.230589999999</v>
      </c>
      <c r="AH22" s="13"/>
      <c r="AI22" s="48" t="s">
        <v>34</v>
      </c>
      <c r="AJ22" s="55" t="s">
        <v>22</v>
      </c>
      <c r="AK22" s="55" t="s">
        <v>22</v>
      </c>
      <c r="AL22" s="55" t="s">
        <v>22</v>
      </c>
      <c r="AM22" s="53">
        <v>44483</v>
      </c>
      <c r="AN22" s="53">
        <v>44508</v>
      </c>
      <c r="AO22" s="2" t="s">
        <v>85</v>
      </c>
      <c r="AP22" s="119">
        <f>23970506.9/1000+23010.2307</f>
        <v>46980.7376</v>
      </c>
      <c r="AQ22" s="119"/>
      <c r="AR22" s="119">
        <v>23970.5069</v>
      </c>
      <c r="AS22" s="108" t="s">
        <v>153</v>
      </c>
      <c r="AT22" s="13">
        <v>1634.1288193</v>
      </c>
    </row>
    <row r="23" spans="1:49" s="40" customFormat="1" ht="43.5" customHeight="1" x14ac:dyDescent="0.25">
      <c r="A23" s="48">
        <v>7</v>
      </c>
      <c r="B23" s="48" t="s">
        <v>54</v>
      </c>
      <c r="C23" s="10">
        <v>7</v>
      </c>
      <c r="D23" s="51" t="s">
        <v>55</v>
      </c>
      <c r="E23" s="51" t="s">
        <v>56</v>
      </c>
      <c r="F23" s="1">
        <v>11</v>
      </c>
      <c r="G23" s="1">
        <v>11</v>
      </c>
      <c r="H23" s="13">
        <f t="shared" si="4"/>
        <v>79496.819560000004</v>
      </c>
      <c r="I23" s="13">
        <v>78701.851360000001</v>
      </c>
      <c r="J23" s="180">
        <v>794.96820000000002</v>
      </c>
      <c r="K23" s="51"/>
      <c r="L23" s="51"/>
      <c r="M23" s="51"/>
      <c r="N23" s="51"/>
      <c r="O23" s="51">
        <f t="shared" si="5"/>
        <v>79496.819560000004</v>
      </c>
      <c r="P23" s="51"/>
      <c r="Q23" s="51"/>
      <c r="R23" s="49"/>
      <c r="S23" s="51"/>
      <c r="T23" s="49"/>
      <c r="U23" s="51"/>
      <c r="V23" s="49">
        <f>646876.66/1000</f>
        <v>646.87666000000002</v>
      </c>
      <c r="W23" s="51"/>
      <c r="X23" s="49">
        <f>13268236.94/1000-800</f>
        <v>12468.236939999999</v>
      </c>
      <c r="Y23" s="51">
        <v>800</v>
      </c>
      <c r="Z23" s="49">
        <f>21452116.65/1000</f>
        <v>21452.11665</v>
      </c>
      <c r="AA23" s="51"/>
      <c r="AB23" s="49">
        <f>22311547.03/1000</f>
        <v>22311.547030000002</v>
      </c>
      <c r="AC23" s="51"/>
      <c r="AD23" s="49">
        <f>21818042.28/1000</f>
        <v>21818.042280000001</v>
      </c>
      <c r="AE23" s="51"/>
      <c r="AF23" s="49"/>
      <c r="AG23" s="51"/>
      <c r="AH23" s="13"/>
      <c r="AI23" s="48" t="s">
        <v>34</v>
      </c>
      <c r="AJ23" s="55"/>
      <c r="AK23" s="55"/>
      <c r="AL23" s="55"/>
      <c r="AM23" s="53">
        <v>44483</v>
      </c>
      <c r="AN23" s="53">
        <v>44508</v>
      </c>
      <c r="AO23" s="53" t="s">
        <v>90</v>
      </c>
      <c r="AP23" s="119"/>
      <c r="AQ23" s="119"/>
      <c r="AR23" s="119"/>
      <c r="AS23" s="108" t="s">
        <v>110</v>
      </c>
    </row>
    <row r="24" spans="1:49" s="40" customFormat="1" ht="48.75" customHeight="1" x14ac:dyDescent="0.25">
      <c r="A24" s="48">
        <v>8</v>
      </c>
      <c r="B24" s="48" t="s">
        <v>59</v>
      </c>
      <c r="C24" s="10">
        <v>8</v>
      </c>
      <c r="D24" s="51" t="s">
        <v>60</v>
      </c>
      <c r="E24" s="51" t="s">
        <v>61</v>
      </c>
      <c r="F24" s="1">
        <v>15</v>
      </c>
      <c r="G24" s="1">
        <v>15</v>
      </c>
      <c r="H24" s="13">
        <f>I24+J24</f>
        <v>145097.21633999998</v>
      </c>
      <c r="I24" s="51">
        <v>143646.24417659998</v>
      </c>
      <c r="J24" s="180">
        <v>1450.9721633999998</v>
      </c>
      <c r="K24" s="51"/>
      <c r="L24" s="51"/>
      <c r="M24" s="51"/>
      <c r="N24" s="51"/>
      <c r="O24" s="51">
        <f t="shared" si="5"/>
        <v>145097.21633999998</v>
      </c>
      <c r="P24" s="51"/>
      <c r="Q24" s="51"/>
      <c r="R24" s="49"/>
      <c r="S24" s="51"/>
      <c r="T24" s="49"/>
      <c r="U24" s="51" t="e">
        <f>#REF!/3</f>
        <v>#REF!</v>
      </c>
      <c r="V24" s="49">
        <f>371351.62/1000+500</f>
        <v>871.35161999999991</v>
      </c>
      <c r="W24" s="51">
        <v>20706.717996666674</v>
      </c>
      <c r="X24" s="49">
        <f>8209572.32/1000</f>
        <v>8209.5723200000011</v>
      </c>
      <c r="Y24" s="51">
        <v>20706.717996666674</v>
      </c>
      <c r="Z24" s="49">
        <f>2603708.38/1000</f>
        <v>2603.70838</v>
      </c>
      <c r="AA24" s="51"/>
      <c r="AB24" s="49" t="e">
        <f>#REF!-V24-X24-Z24-AD24</f>
        <v>#REF!</v>
      </c>
      <c r="AC24" s="51"/>
      <c r="AD24" s="49">
        <f>50272360.11/1000</f>
        <v>50272.360110000001</v>
      </c>
      <c r="AE24" s="51"/>
      <c r="AF24" s="49"/>
      <c r="AG24" s="51"/>
      <c r="AH24" s="13"/>
      <c r="AI24" s="48" t="s">
        <v>34</v>
      </c>
      <c r="AJ24" s="55"/>
      <c r="AK24" s="55"/>
      <c r="AL24" s="55"/>
      <c r="AM24" s="53">
        <v>44508</v>
      </c>
      <c r="AN24" s="53">
        <v>44533</v>
      </c>
      <c r="AO24" s="53" t="s">
        <v>94</v>
      </c>
      <c r="AP24" s="119">
        <f>9144938.82/1000</f>
        <v>9144.9388199999994</v>
      </c>
      <c r="AQ24" s="119"/>
      <c r="AR24" s="119"/>
      <c r="AS24" s="108" t="s">
        <v>148</v>
      </c>
    </row>
    <row r="25" spans="1:49" s="40" customFormat="1" ht="48.75" customHeight="1" x14ac:dyDescent="0.25">
      <c r="A25" s="48">
        <v>9</v>
      </c>
      <c r="B25" s="48" t="s">
        <v>62</v>
      </c>
      <c r="C25" s="48">
        <v>9</v>
      </c>
      <c r="D25" s="15" t="s">
        <v>87</v>
      </c>
      <c r="E25" s="15" t="s">
        <v>63</v>
      </c>
      <c r="F25" s="1">
        <v>25</v>
      </c>
      <c r="G25" s="1">
        <v>25</v>
      </c>
      <c r="H25" s="13">
        <f>I25+J25+K25+L25</f>
        <v>190506.71476999999</v>
      </c>
      <c r="I25" s="51"/>
      <c r="J25" s="51"/>
      <c r="K25" s="180">
        <v>190506.71476999999</v>
      </c>
      <c r="L25" s="51"/>
      <c r="M25" s="51"/>
      <c r="N25" s="51"/>
      <c r="O25" s="51">
        <f t="shared" si="5"/>
        <v>190506.71476999999</v>
      </c>
      <c r="P25" s="51"/>
      <c r="Q25" s="51"/>
      <c r="R25" s="49"/>
      <c r="S25" s="51">
        <f>27473017.86/1000</f>
        <v>27473.01786</v>
      </c>
      <c r="T25" s="49"/>
      <c r="U25" s="51">
        <f>24442147.76/1000</f>
        <v>24442.14776</v>
      </c>
      <c r="V25" s="49"/>
      <c r="W25" s="51"/>
      <c r="X25" s="49"/>
      <c r="Y25" s="51">
        <f>28316741.81/1000</f>
        <v>28316.74181</v>
      </c>
      <c r="Z25" s="49"/>
      <c r="AA25" s="51">
        <f>41656903.16/1000</f>
        <v>41656.903159999994</v>
      </c>
      <c r="AB25" s="49"/>
      <c r="AC25" s="51">
        <f>68617904.18/1000</f>
        <v>68617.904180000012</v>
      </c>
      <c r="AD25" s="49"/>
      <c r="AE25" s="51"/>
      <c r="AF25" s="49"/>
      <c r="AG25" s="51"/>
      <c r="AH25" s="13"/>
      <c r="AI25" s="48" t="s">
        <v>34</v>
      </c>
      <c r="AJ25" s="84"/>
      <c r="AK25" s="84"/>
      <c r="AL25" s="84"/>
      <c r="AM25" s="53">
        <v>44484</v>
      </c>
      <c r="AN25" s="53">
        <v>44512</v>
      </c>
      <c r="AO25" s="2" t="s">
        <v>88</v>
      </c>
      <c r="AP25" s="119">
        <f>7096461.42/1000</f>
        <v>7096.4614199999996</v>
      </c>
      <c r="AQ25" s="119">
        <f>AP25</f>
        <v>7096.4614199999996</v>
      </c>
      <c r="AR25" s="119"/>
      <c r="AS25" s="108" t="s">
        <v>111</v>
      </c>
    </row>
    <row r="26" spans="1:49" s="40" customFormat="1" ht="53.25" customHeight="1" x14ac:dyDescent="0.25">
      <c r="A26" s="48">
        <v>10</v>
      </c>
      <c r="B26" s="48" t="s">
        <v>72</v>
      </c>
      <c r="C26" s="10">
        <v>10</v>
      </c>
      <c r="D26" s="15" t="s">
        <v>81</v>
      </c>
      <c r="E26" s="15" t="s">
        <v>80</v>
      </c>
      <c r="F26" s="1">
        <v>7.8</v>
      </c>
      <c r="G26" s="1">
        <v>7.8</v>
      </c>
      <c r="H26" s="13">
        <f>I26+J26+K26+L26</f>
        <v>46048.583710000006</v>
      </c>
      <c r="I26" s="51"/>
      <c r="J26" s="51"/>
      <c r="K26" s="51">
        <f>26376105.03/1000</f>
        <v>26376.105030000002</v>
      </c>
      <c r="L26" s="180">
        <f>19672478.68/1000</f>
        <v>19672.47868</v>
      </c>
      <c r="M26" s="51"/>
      <c r="N26" s="51"/>
      <c r="O26" s="51">
        <f t="shared" si="5"/>
        <v>46048.583710000006</v>
      </c>
      <c r="P26" s="51"/>
      <c r="Q26" s="51"/>
      <c r="R26" s="49"/>
      <c r="S26" s="51"/>
      <c r="T26" s="49"/>
      <c r="U26" s="51"/>
      <c r="V26" s="49"/>
      <c r="W26" s="51">
        <f>346343.44/1000</f>
        <v>346.34343999999999</v>
      </c>
      <c r="X26" s="49"/>
      <c r="Y26" s="51">
        <f>8731464.9/1000</f>
        <v>8731.4649000000009</v>
      </c>
      <c r="Z26" s="49"/>
      <c r="AA26" s="51">
        <f>21579214.78/1000</f>
        <v>21579.214780000002</v>
      </c>
      <c r="AB26" s="49"/>
      <c r="AC26" s="51">
        <f>13799494.46/1000</f>
        <v>13799.494460000002</v>
      </c>
      <c r="AD26" s="49"/>
      <c r="AE26" s="51">
        <f>1592066.13/1000</f>
        <v>1592.0661299999999</v>
      </c>
      <c r="AF26" s="49"/>
      <c r="AG26" s="51"/>
      <c r="AH26" s="13"/>
      <c r="AI26" s="48" t="s">
        <v>83</v>
      </c>
      <c r="AJ26" s="84" t="s">
        <v>21</v>
      </c>
      <c r="AK26" s="84" t="s">
        <v>22</v>
      </c>
      <c r="AL26" s="85" t="s">
        <v>82</v>
      </c>
      <c r="AM26" s="53">
        <v>44509</v>
      </c>
      <c r="AN26" s="53">
        <v>44536</v>
      </c>
      <c r="AO26" s="2" t="s">
        <v>85</v>
      </c>
      <c r="AP26" s="119"/>
      <c r="AQ26" s="119"/>
      <c r="AR26" s="119"/>
      <c r="AS26" s="108" t="s">
        <v>150</v>
      </c>
    </row>
    <row r="27" spans="1:49" s="40" customFormat="1" ht="36.75" customHeight="1" x14ac:dyDescent="0.25">
      <c r="A27" s="48">
        <v>11</v>
      </c>
      <c r="B27" s="126" t="s">
        <v>41</v>
      </c>
      <c r="C27" s="10">
        <v>11</v>
      </c>
      <c r="D27" s="15" t="s">
        <v>91</v>
      </c>
      <c r="E27" s="15" t="s">
        <v>45</v>
      </c>
      <c r="F27" s="1">
        <v>5</v>
      </c>
      <c r="G27" s="1">
        <v>5</v>
      </c>
      <c r="H27" s="13">
        <f>I27+J27+K27+L27</f>
        <v>93274.724180000005</v>
      </c>
      <c r="I27" s="123"/>
      <c r="J27" s="50"/>
      <c r="K27" s="181">
        <f>93274.72418</f>
        <v>93274.724180000005</v>
      </c>
      <c r="L27" s="123"/>
      <c r="M27" s="123"/>
      <c r="N27" s="123"/>
      <c r="O27" s="123">
        <f t="shared" si="5"/>
        <v>93274.724180000005</v>
      </c>
      <c r="P27" s="123"/>
      <c r="Q27" s="123"/>
      <c r="R27" s="131"/>
      <c r="S27" s="123"/>
      <c r="T27" s="131"/>
      <c r="U27" s="123"/>
      <c r="V27" s="131">
        <f>918875.99/1000</f>
        <v>918.87599</v>
      </c>
      <c r="W27" s="123"/>
      <c r="X27" s="131">
        <f>16417936.51/1000-1000</f>
        <v>15417.93651</v>
      </c>
      <c r="Y27" s="123">
        <v>1000</v>
      </c>
      <c r="Z27" s="131">
        <f>25717813.52/1000</f>
        <v>25717.81352</v>
      </c>
      <c r="AA27" s="123"/>
      <c r="AB27" s="131">
        <f>31326692.1/1000</f>
        <v>31326.6921</v>
      </c>
      <c r="AC27" s="123"/>
      <c r="AD27" s="131">
        <f>18672953.7/1000</f>
        <v>18672.953699999998</v>
      </c>
      <c r="AE27" s="123"/>
      <c r="AF27" s="131">
        <f>220452.36/1000</f>
        <v>220.45236</v>
      </c>
      <c r="AG27" s="123"/>
      <c r="AH27" s="13"/>
      <c r="AI27" s="126" t="s">
        <v>34</v>
      </c>
      <c r="AJ27" s="84"/>
      <c r="AK27" s="84"/>
      <c r="AL27" s="84"/>
      <c r="AM27" s="133">
        <v>44509</v>
      </c>
      <c r="AN27" s="133">
        <v>44533</v>
      </c>
      <c r="AO27" s="2" t="s">
        <v>85</v>
      </c>
      <c r="AP27" s="123"/>
      <c r="AQ27" s="123"/>
      <c r="AR27" s="123"/>
      <c r="AS27" s="126" t="s">
        <v>149</v>
      </c>
    </row>
    <row r="28" spans="1:49" s="40" customFormat="1" ht="36.75" customHeight="1" x14ac:dyDescent="0.25">
      <c r="A28" s="48">
        <v>12</v>
      </c>
      <c r="B28" s="128"/>
      <c r="C28" s="48">
        <v>12</v>
      </c>
      <c r="D28" s="15" t="s">
        <v>46</v>
      </c>
      <c r="E28" s="15" t="s">
        <v>47</v>
      </c>
      <c r="F28" s="1">
        <v>1.61</v>
      </c>
      <c r="G28" s="1">
        <v>1.61</v>
      </c>
      <c r="H28" s="13">
        <f>I28+J28+K28+L28</f>
        <v>0</v>
      </c>
      <c r="I28" s="124"/>
      <c r="J28" s="51"/>
      <c r="K28" s="182"/>
      <c r="L28" s="124"/>
      <c r="M28" s="124"/>
      <c r="N28" s="124"/>
      <c r="O28" s="124">
        <f t="shared" si="5"/>
        <v>0</v>
      </c>
      <c r="P28" s="124"/>
      <c r="Q28" s="124"/>
      <c r="R28" s="132"/>
      <c r="S28" s="124"/>
      <c r="T28" s="132"/>
      <c r="U28" s="124"/>
      <c r="V28" s="132"/>
      <c r="W28" s="124"/>
      <c r="X28" s="132"/>
      <c r="Y28" s="124"/>
      <c r="Z28" s="132"/>
      <c r="AA28" s="124"/>
      <c r="AB28" s="132"/>
      <c r="AC28" s="124"/>
      <c r="AD28" s="132"/>
      <c r="AE28" s="124"/>
      <c r="AF28" s="132"/>
      <c r="AG28" s="124"/>
      <c r="AH28" s="13"/>
      <c r="AI28" s="128"/>
      <c r="AJ28" s="84"/>
      <c r="AK28" s="84"/>
      <c r="AL28" s="84"/>
      <c r="AM28" s="134"/>
      <c r="AN28" s="134"/>
      <c r="AO28" s="2" t="s">
        <v>95</v>
      </c>
      <c r="AP28" s="124"/>
      <c r="AQ28" s="124"/>
      <c r="AR28" s="124"/>
      <c r="AS28" s="128"/>
    </row>
    <row r="29" spans="1:49" s="40" customFormat="1" ht="29.25" customHeight="1" x14ac:dyDescent="0.25">
      <c r="A29" s="48">
        <v>13</v>
      </c>
      <c r="B29" s="126" t="s">
        <v>51</v>
      </c>
      <c r="C29" s="10">
        <v>13</v>
      </c>
      <c r="D29" s="15" t="s">
        <v>52</v>
      </c>
      <c r="E29" s="15" t="s">
        <v>53</v>
      </c>
      <c r="F29" s="123">
        <v>38.35</v>
      </c>
      <c r="G29" s="123">
        <f>F29</f>
        <v>38.35</v>
      </c>
      <c r="H29" s="123">
        <f>I29+J29</f>
        <v>574062.18608000001</v>
      </c>
      <c r="I29" s="123">
        <v>568321.56421920005</v>
      </c>
      <c r="J29" s="181">
        <v>5740.6218607999999</v>
      </c>
      <c r="K29" s="123"/>
      <c r="L29" s="123"/>
      <c r="M29" s="123"/>
      <c r="N29" s="123"/>
      <c r="O29" s="123">
        <f t="shared" si="5"/>
        <v>574062.18608000001</v>
      </c>
      <c r="P29" s="123"/>
      <c r="Q29" s="123"/>
      <c r="R29" s="131"/>
      <c r="S29" s="123"/>
      <c r="T29" s="131"/>
      <c r="U29" s="123"/>
      <c r="V29" s="131"/>
      <c r="W29" s="123"/>
      <c r="X29" s="131">
        <f>34837636.44/1000-6000</f>
        <v>28837.636439999995</v>
      </c>
      <c r="Y29" s="123">
        <v>6000</v>
      </c>
      <c r="Z29" s="131">
        <f>139895495.94/1000</f>
        <v>139895.49593999999</v>
      </c>
      <c r="AA29" s="123"/>
      <c r="AB29" s="131">
        <f>124178072.22/1000</f>
        <v>124178.07222</v>
      </c>
      <c r="AC29" s="123"/>
      <c r="AD29" s="131">
        <f>230668169.12/1000</f>
        <v>230668.16912000001</v>
      </c>
      <c r="AE29" s="123"/>
      <c r="AF29" s="131">
        <f>44482812.36/1000</f>
        <v>44482.812359999996</v>
      </c>
      <c r="AG29" s="123"/>
      <c r="AH29" s="13"/>
      <c r="AI29" s="126" t="s">
        <v>34</v>
      </c>
      <c r="AJ29" s="84"/>
      <c r="AK29" s="84"/>
      <c r="AL29" s="84"/>
      <c r="AM29" s="133">
        <v>44508</v>
      </c>
      <c r="AN29" s="133">
        <v>44537</v>
      </c>
      <c r="AO29" s="133" t="s">
        <v>93</v>
      </c>
      <c r="AP29" s="123"/>
      <c r="AQ29" s="123"/>
      <c r="AR29" s="123"/>
      <c r="AS29" s="126" t="s">
        <v>152</v>
      </c>
      <c r="AT29" s="86"/>
    </row>
    <row r="30" spans="1:49" s="40" customFormat="1" ht="29.25" customHeight="1" x14ac:dyDescent="0.25">
      <c r="A30" s="48">
        <v>14</v>
      </c>
      <c r="B30" s="128"/>
      <c r="C30" s="10">
        <v>14</v>
      </c>
      <c r="D30" s="15" t="s">
        <v>97</v>
      </c>
      <c r="E30" s="15" t="s">
        <v>98</v>
      </c>
      <c r="F30" s="124"/>
      <c r="G30" s="124"/>
      <c r="H30" s="124"/>
      <c r="I30" s="124"/>
      <c r="J30" s="182"/>
      <c r="K30" s="124"/>
      <c r="L30" s="124"/>
      <c r="M30" s="124"/>
      <c r="N30" s="124"/>
      <c r="O30" s="124">
        <f t="shared" si="5"/>
        <v>0</v>
      </c>
      <c r="P30" s="124"/>
      <c r="Q30" s="124"/>
      <c r="R30" s="132"/>
      <c r="S30" s="124"/>
      <c r="T30" s="132"/>
      <c r="U30" s="124"/>
      <c r="V30" s="132"/>
      <c r="W30" s="124"/>
      <c r="X30" s="132"/>
      <c r="Y30" s="124"/>
      <c r="Z30" s="132"/>
      <c r="AA30" s="124"/>
      <c r="AB30" s="132"/>
      <c r="AC30" s="124"/>
      <c r="AD30" s="132"/>
      <c r="AE30" s="124"/>
      <c r="AF30" s="132"/>
      <c r="AG30" s="124"/>
      <c r="AH30" s="13"/>
      <c r="AI30" s="128"/>
      <c r="AJ30" s="84"/>
      <c r="AK30" s="84"/>
      <c r="AL30" s="84"/>
      <c r="AM30" s="134"/>
      <c r="AN30" s="134"/>
      <c r="AO30" s="134"/>
      <c r="AP30" s="124"/>
      <c r="AQ30" s="124"/>
      <c r="AR30" s="124"/>
      <c r="AS30" s="128"/>
    </row>
    <row r="31" spans="1:49" s="40" customFormat="1" ht="51" x14ac:dyDescent="0.25">
      <c r="A31" s="48">
        <v>15</v>
      </c>
      <c r="B31" s="10" t="s">
        <v>162</v>
      </c>
      <c r="C31" s="10">
        <v>15</v>
      </c>
      <c r="D31" s="47" t="s">
        <v>53</v>
      </c>
      <c r="E31" s="15" t="s">
        <v>161</v>
      </c>
      <c r="F31" s="51">
        <v>2.5</v>
      </c>
      <c r="G31" s="51">
        <v>2.5</v>
      </c>
      <c r="H31" s="13">
        <f t="shared" ref="H31:H41" si="6">I31+J31+K31+L31</f>
        <v>3709.5888500000001</v>
      </c>
      <c r="I31" s="51"/>
      <c r="J31" s="51"/>
      <c r="K31" s="51"/>
      <c r="L31" s="180">
        <v>3709.5888500000001</v>
      </c>
      <c r="M31" s="51"/>
      <c r="N31" s="51"/>
      <c r="O31" s="51">
        <f t="shared" si="5"/>
        <v>3709.5888500000001</v>
      </c>
      <c r="P31" s="51"/>
      <c r="Q31" s="51"/>
      <c r="R31" s="49"/>
      <c r="S31" s="51"/>
      <c r="T31" s="49"/>
      <c r="U31" s="51"/>
      <c r="V31" s="49"/>
      <c r="W31" s="51"/>
      <c r="X31" s="49"/>
      <c r="Y31" s="51"/>
      <c r="Z31" s="49"/>
      <c r="AA31" s="51"/>
      <c r="AB31" s="49"/>
      <c r="AC31" s="51"/>
      <c r="AD31" s="49"/>
      <c r="AE31" s="51"/>
      <c r="AF31" s="49"/>
      <c r="AG31" s="51"/>
      <c r="AH31" s="13"/>
      <c r="AI31" s="48"/>
      <c r="AJ31" s="84"/>
      <c r="AK31" s="84"/>
      <c r="AL31" s="84"/>
      <c r="AM31" s="53"/>
      <c r="AN31" s="53"/>
      <c r="AO31" s="53"/>
      <c r="AP31" s="119"/>
      <c r="AQ31" s="119"/>
      <c r="AR31" s="119"/>
      <c r="AS31" s="108" t="s">
        <v>168</v>
      </c>
    </row>
    <row r="32" spans="1:49" s="40" customFormat="1" ht="42.75" customHeight="1" x14ac:dyDescent="0.25">
      <c r="A32" s="48">
        <v>16</v>
      </c>
      <c r="B32" s="10" t="s">
        <v>72</v>
      </c>
      <c r="C32" s="10">
        <v>16</v>
      </c>
      <c r="D32" s="15" t="s">
        <v>73</v>
      </c>
      <c r="E32" s="15" t="s">
        <v>74</v>
      </c>
      <c r="F32" s="1">
        <v>5</v>
      </c>
      <c r="G32" s="1">
        <v>5</v>
      </c>
      <c r="H32" s="13">
        <f t="shared" si="6"/>
        <v>43201.558129999998</v>
      </c>
      <c r="I32" s="51"/>
      <c r="J32" s="51"/>
      <c r="K32" s="51">
        <v>21600.779064999999</v>
      </c>
      <c r="L32" s="180">
        <f>21600.779065</f>
        <v>21600.779064999999</v>
      </c>
      <c r="M32" s="51"/>
      <c r="N32" s="51"/>
      <c r="O32" s="51">
        <f t="shared" si="5"/>
        <v>43201.558129999998</v>
      </c>
      <c r="P32" s="51"/>
      <c r="Q32" s="51"/>
      <c r="R32" s="49"/>
      <c r="S32" s="51"/>
      <c r="T32" s="49"/>
      <c r="U32" s="51"/>
      <c r="V32" s="49"/>
      <c r="W32" s="51">
        <f>747480.2/1000</f>
        <v>747.48019999999997</v>
      </c>
      <c r="X32" s="49"/>
      <c r="Y32" s="51">
        <f>1719827.32/1000</f>
        <v>1719.8273200000001</v>
      </c>
      <c r="Z32" s="49"/>
      <c r="AA32" s="51">
        <f>13793524.82/1000</f>
        <v>13793.524820000001</v>
      </c>
      <c r="AB32" s="49"/>
      <c r="AC32" s="51">
        <f>26453825.38/1000</f>
        <v>26453.825379999998</v>
      </c>
      <c r="AD32" s="49"/>
      <c r="AE32" s="51">
        <f>486900.41/1000</f>
        <v>486.90040999999997</v>
      </c>
      <c r="AF32" s="49"/>
      <c r="AG32" s="51"/>
      <c r="AH32" s="13"/>
      <c r="AI32" s="48" t="s">
        <v>34</v>
      </c>
      <c r="AJ32" s="84"/>
      <c r="AK32" s="84"/>
      <c r="AL32" s="84"/>
      <c r="AM32" s="53">
        <v>44509</v>
      </c>
      <c r="AN32" s="53">
        <v>44536</v>
      </c>
      <c r="AO32" s="2" t="s">
        <v>92</v>
      </c>
      <c r="AP32" s="119"/>
      <c r="AQ32" s="119"/>
      <c r="AR32" s="119"/>
      <c r="AS32" s="108" t="s">
        <v>151</v>
      </c>
    </row>
    <row r="33" spans="1:48" s="40" customFormat="1" ht="43.5" customHeight="1" x14ac:dyDescent="0.25">
      <c r="A33" s="48">
        <v>17</v>
      </c>
      <c r="B33" s="48" t="s">
        <v>41</v>
      </c>
      <c r="C33" s="10">
        <v>17</v>
      </c>
      <c r="D33" s="51" t="s">
        <v>48</v>
      </c>
      <c r="E33" s="51" t="s">
        <v>49</v>
      </c>
      <c r="F33" s="1">
        <v>10</v>
      </c>
      <c r="G33" s="1">
        <v>10</v>
      </c>
      <c r="H33" s="13">
        <f t="shared" si="6"/>
        <v>127675.00217000002</v>
      </c>
      <c r="I33" s="51">
        <v>109235.89515000001</v>
      </c>
      <c r="J33" s="180">
        <v>1103.3970200000001</v>
      </c>
      <c r="K33" s="51"/>
      <c r="L33" s="122">
        <v>17335.71</v>
      </c>
      <c r="M33" s="51"/>
      <c r="N33" s="51"/>
      <c r="O33" s="51">
        <f t="shared" si="5"/>
        <v>127675.00217000002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13"/>
      <c r="AI33" s="48" t="s">
        <v>50</v>
      </c>
      <c r="AJ33" s="35">
        <v>44409</v>
      </c>
      <c r="AK33" s="35">
        <v>44228</v>
      </c>
      <c r="AL33" s="48" t="s">
        <v>99</v>
      </c>
      <c r="AM33" s="53">
        <v>44536</v>
      </c>
      <c r="AN33" s="53">
        <v>44571</v>
      </c>
      <c r="AO33" s="2" t="s">
        <v>85</v>
      </c>
      <c r="AP33" s="119"/>
      <c r="AQ33" s="119"/>
      <c r="AR33" s="119"/>
      <c r="AS33" s="108" t="s">
        <v>159</v>
      </c>
      <c r="AT33" s="86">
        <v>110339.29217000002</v>
      </c>
      <c r="AU33" s="86">
        <f>AT33*0.99</f>
        <v>109235.89924830002</v>
      </c>
      <c r="AV33" s="86">
        <f>AT33*0.01</f>
        <v>1103.3929217000002</v>
      </c>
    </row>
    <row r="34" spans="1:48" s="40" customFormat="1" ht="48.75" customHeight="1" x14ac:dyDescent="0.25">
      <c r="A34" s="48">
        <v>18</v>
      </c>
      <c r="B34" s="48" t="s">
        <v>41</v>
      </c>
      <c r="C34" s="10">
        <v>18</v>
      </c>
      <c r="D34" s="51" t="s">
        <v>42</v>
      </c>
      <c r="E34" s="51" t="s">
        <v>43</v>
      </c>
      <c r="F34" s="1">
        <v>13</v>
      </c>
      <c r="G34" s="1">
        <v>13</v>
      </c>
      <c r="H34" s="13">
        <f t="shared" si="6"/>
        <v>193257.19458000001</v>
      </c>
      <c r="I34" s="51">
        <v>191324.6226342</v>
      </c>
      <c r="J34" s="180">
        <v>1932.5719458000001</v>
      </c>
      <c r="K34" s="51"/>
      <c r="L34" s="51"/>
      <c r="M34" s="51"/>
      <c r="N34" s="51"/>
      <c r="O34" s="51">
        <f t="shared" si="5"/>
        <v>193257.19458000001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13"/>
      <c r="AI34" s="48" t="s">
        <v>44</v>
      </c>
      <c r="AJ34" s="35">
        <v>44378</v>
      </c>
      <c r="AK34" s="35">
        <v>44317</v>
      </c>
      <c r="AL34" s="48" t="s">
        <v>100</v>
      </c>
      <c r="AM34" s="53">
        <v>44540</v>
      </c>
      <c r="AN34" s="53">
        <v>44593</v>
      </c>
      <c r="AO34" s="2" t="s">
        <v>85</v>
      </c>
      <c r="AP34" s="119">
        <f>7931366.57/1000</f>
        <v>7931.3665700000001</v>
      </c>
      <c r="AQ34" s="119"/>
      <c r="AR34" s="119"/>
      <c r="AS34" s="108" t="s">
        <v>174</v>
      </c>
      <c r="AT34" s="86">
        <f>H33-K33</f>
        <v>127675.00217000002</v>
      </c>
    </row>
    <row r="35" spans="1:48" s="40" customFormat="1" ht="55.5" customHeight="1" x14ac:dyDescent="0.25">
      <c r="A35" s="48">
        <v>19</v>
      </c>
      <c r="B35" s="48" t="s">
        <v>35</v>
      </c>
      <c r="C35" s="48">
        <v>19</v>
      </c>
      <c r="D35" s="51" t="s">
        <v>130</v>
      </c>
      <c r="E35" s="51" t="s">
        <v>131</v>
      </c>
      <c r="F35" s="1">
        <v>12</v>
      </c>
      <c r="G35" s="1">
        <v>6</v>
      </c>
      <c r="H35" s="13">
        <f t="shared" si="6"/>
        <v>36556.74</v>
      </c>
      <c r="I35" s="51"/>
      <c r="J35" s="51"/>
      <c r="K35" s="51"/>
      <c r="L35" s="180">
        <v>36556.74</v>
      </c>
      <c r="M35" s="51">
        <v>32066.008620000001</v>
      </c>
      <c r="N35" s="51"/>
      <c r="O35" s="51">
        <f t="shared" si="5"/>
        <v>68622.748619999998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13"/>
      <c r="AI35" s="48" t="s">
        <v>58</v>
      </c>
      <c r="AJ35" s="35">
        <v>43922</v>
      </c>
      <c r="AK35" s="35">
        <v>44055</v>
      </c>
      <c r="AL35" s="48" t="s">
        <v>157</v>
      </c>
      <c r="AM35" s="53" t="s">
        <v>116</v>
      </c>
      <c r="AN35" s="53" t="s">
        <v>115</v>
      </c>
      <c r="AO35" s="2" t="s">
        <v>85</v>
      </c>
      <c r="AP35" s="119"/>
      <c r="AQ35" s="119"/>
      <c r="AR35" s="119"/>
      <c r="AS35" s="108" t="s">
        <v>205</v>
      </c>
    </row>
    <row r="36" spans="1:48" s="40" customFormat="1" ht="73.5" customHeight="1" x14ac:dyDescent="0.25">
      <c r="A36" s="108">
        <v>20</v>
      </c>
      <c r="B36" s="108" t="s">
        <v>59</v>
      </c>
      <c r="C36" s="108">
        <v>20</v>
      </c>
      <c r="D36" s="109" t="s">
        <v>37</v>
      </c>
      <c r="E36" s="109" t="s">
        <v>60</v>
      </c>
      <c r="F36" s="1">
        <v>8</v>
      </c>
      <c r="G36" s="1">
        <v>8</v>
      </c>
      <c r="H36" s="111">
        <f>I36+J36+K36+L36</f>
        <v>136800.38</v>
      </c>
      <c r="I36" s="109"/>
      <c r="J36" s="109"/>
      <c r="K36" s="180">
        <v>136800.38</v>
      </c>
      <c r="L36" s="109"/>
      <c r="M36" s="109"/>
      <c r="N36" s="109"/>
      <c r="O36" s="109">
        <f>H36+M36+N36</f>
        <v>136800.38</v>
      </c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11"/>
      <c r="AI36" s="108" t="s">
        <v>50</v>
      </c>
      <c r="AJ36" s="35">
        <v>44409</v>
      </c>
      <c r="AK36" s="35">
        <v>44531</v>
      </c>
      <c r="AL36" s="35">
        <v>44562</v>
      </c>
      <c r="AM36" s="35" t="s">
        <v>115</v>
      </c>
      <c r="AN36" s="35" t="s">
        <v>114</v>
      </c>
      <c r="AO36" s="2" t="s">
        <v>85</v>
      </c>
      <c r="AP36" s="119"/>
      <c r="AQ36" s="119"/>
      <c r="AR36" s="119"/>
      <c r="AS36" s="108" t="s">
        <v>208</v>
      </c>
      <c r="AU36" s="106"/>
    </row>
    <row r="37" spans="1:48" s="40" customFormat="1" ht="127.5" customHeight="1" x14ac:dyDescent="0.25">
      <c r="A37" s="48">
        <v>21</v>
      </c>
      <c r="B37" s="48" t="s">
        <v>57</v>
      </c>
      <c r="C37" s="48">
        <v>21</v>
      </c>
      <c r="D37" s="51" t="s">
        <v>126</v>
      </c>
      <c r="E37" s="51" t="s">
        <v>125</v>
      </c>
      <c r="F37" s="1">
        <v>15</v>
      </c>
      <c r="G37" s="1">
        <v>15</v>
      </c>
      <c r="H37" s="13">
        <f t="shared" si="6"/>
        <v>135639.81</v>
      </c>
      <c r="I37" s="51"/>
      <c r="J37" s="51"/>
      <c r="K37" s="51"/>
      <c r="L37" s="180">
        <f>135639.81</f>
        <v>135639.81</v>
      </c>
      <c r="M37" s="51"/>
      <c r="N37" s="51"/>
      <c r="O37" s="51">
        <f t="shared" si="5"/>
        <v>135639.81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48" t="s">
        <v>34</v>
      </c>
      <c r="AJ37" s="55"/>
      <c r="AK37" s="55"/>
      <c r="AL37" s="55"/>
      <c r="AM37" s="53" t="s">
        <v>116</v>
      </c>
      <c r="AN37" s="53" t="s">
        <v>115</v>
      </c>
      <c r="AO37" s="53" t="s">
        <v>132</v>
      </c>
      <c r="AP37" s="119"/>
      <c r="AQ37" s="119"/>
      <c r="AR37" s="119"/>
      <c r="AS37" s="113" t="s">
        <v>210</v>
      </c>
      <c r="AU37" s="105"/>
    </row>
    <row r="38" spans="1:48" s="40" customFormat="1" ht="127.5" customHeight="1" x14ac:dyDescent="0.25">
      <c r="A38" s="48">
        <v>22</v>
      </c>
      <c r="B38" s="48" t="s">
        <v>72</v>
      </c>
      <c r="C38" s="48">
        <v>22</v>
      </c>
      <c r="D38" s="51" t="s">
        <v>36</v>
      </c>
      <c r="E38" s="51" t="s">
        <v>127</v>
      </c>
      <c r="F38" s="1">
        <v>4</v>
      </c>
      <c r="G38" s="1">
        <v>4</v>
      </c>
      <c r="H38" s="13">
        <f t="shared" si="6"/>
        <v>13759.83712</v>
      </c>
      <c r="I38" s="51"/>
      <c r="J38" s="51"/>
      <c r="K38" s="51"/>
      <c r="L38" s="180">
        <v>13759.83712</v>
      </c>
      <c r="M38" s="51"/>
      <c r="N38" s="51"/>
      <c r="O38" s="51">
        <f t="shared" si="5"/>
        <v>13759.83712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48" t="s">
        <v>34</v>
      </c>
      <c r="AJ38" s="55"/>
      <c r="AK38" s="55"/>
      <c r="AL38" s="55"/>
      <c r="AM38" s="53" t="s">
        <v>116</v>
      </c>
      <c r="AN38" s="53" t="s">
        <v>115</v>
      </c>
      <c r="AO38" s="53" t="s">
        <v>132</v>
      </c>
      <c r="AP38" s="119"/>
      <c r="AQ38" s="119"/>
      <c r="AR38" s="119"/>
      <c r="AS38" s="126" t="s">
        <v>209</v>
      </c>
    </row>
    <row r="39" spans="1:48" s="40" customFormat="1" ht="126.75" customHeight="1" x14ac:dyDescent="0.25">
      <c r="A39" s="48">
        <v>23</v>
      </c>
      <c r="B39" s="48" t="s">
        <v>72</v>
      </c>
      <c r="C39" s="48">
        <v>23</v>
      </c>
      <c r="D39" s="51" t="s">
        <v>146</v>
      </c>
      <c r="E39" s="51" t="s">
        <v>147</v>
      </c>
      <c r="F39" s="1">
        <v>1.55</v>
      </c>
      <c r="G39" s="1">
        <v>1.55</v>
      </c>
      <c r="H39" s="13">
        <f t="shared" si="6"/>
        <v>10431.31748</v>
      </c>
      <c r="I39" s="51"/>
      <c r="J39" s="51"/>
      <c r="K39" s="51"/>
      <c r="L39" s="180">
        <v>10431.31748</v>
      </c>
      <c r="M39" s="51"/>
      <c r="N39" s="51"/>
      <c r="O39" s="51">
        <f t="shared" si="5"/>
        <v>10431.31748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48" t="s">
        <v>34</v>
      </c>
      <c r="AJ39" s="55"/>
      <c r="AK39" s="55"/>
      <c r="AL39" s="55"/>
      <c r="AM39" s="53" t="s">
        <v>116</v>
      </c>
      <c r="AN39" s="53" t="s">
        <v>115</v>
      </c>
      <c r="AO39" s="53" t="s">
        <v>132</v>
      </c>
      <c r="AP39" s="119"/>
      <c r="AQ39" s="119"/>
      <c r="AR39" s="119"/>
      <c r="AS39" s="128"/>
      <c r="AU39" s="106"/>
    </row>
    <row r="40" spans="1:48" s="40" customFormat="1" ht="121.5" customHeight="1" x14ac:dyDescent="0.25">
      <c r="A40" s="48">
        <v>24</v>
      </c>
      <c r="B40" s="48" t="s">
        <v>41</v>
      </c>
      <c r="C40" s="48">
        <v>24</v>
      </c>
      <c r="D40" s="51" t="s">
        <v>128</v>
      </c>
      <c r="E40" s="51" t="s">
        <v>129</v>
      </c>
      <c r="F40" s="1">
        <v>3.6</v>
      </c>
      <c r="G40" s="1">
        <v>3.6</v>
      </c>
      <c r="H40" s="13">
        <f t="shared" si="6"/>
        <v>99987.75</v>
      </c>
      <c r="I40" s="51"/>
      <c r="J40" s="51"/>
      <c r="K40" s="51"/>
      <c r="L40" s="51">
        <v>99987.75</v>
      </c>
      <c r="M40" s="51"/>
      <c r="N40" s="51"/>
      <c r="O40" s="51">
        <f t="shared" si="5"/>
        <v>99987.75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48" t="s">
        <v>34</v>
      </c>
      <c r="AJ40" s="55"/>
      <c r="AK40" s="55"/>
      <c r="AL40" s="55"/>
      <c r="AM40" s="53" t="s">
        <v>116</v>
      </c>
      <c r="AN40" s="53" t="s">
        <v>115</v>
      </c>
      <c r="AO40" s="53" t="s">
        <v>132</v>
      </c>
      <c r="AP40" s="119"/>
      <c r="AQ40" s="119"/>
      <c r="AR40" s="119"/>
      <c r="AS40" s="36" t="s">
        <v>207</v>
      </c>
      <c r="AU40" s="106"/>
    </row>
    <row r="41" spans="1:48" s="40" customFormat="1" ht="121.5" customHeight="1" x14ac:dyDescent="0.25">
      <c r="A41" s="113">
        <v>25</v>
      </c>
      <c r="B41" s="113" t="s">
        <v>211</v>
      </c>
      <c r="C41" s="113">
        <v>25</v>
      </c>
      <c r="D41" s="112" t="s">
        <v>212</v>
      </c>
      <c r="E41" s="112" t="s">
        <v>213</v>
      </c>
      <c r="F41" s="1">
        <v>11.369</v>
      </c>
      <c r="G41" s="120"/>
      <c r="H41" s="114">
        <f t="shared" si="6"/>
        <v>67068.285000000003</v>
      </c>
      <c r="I41" s="112"/>
      <c r="J41" s="112"/>
      <c r="K41" s="112"/>
      <c r="L41" s="112">
        <v>67068.285000000003</v>
      </c>
      <c r="M41" s="112">
        <f>22356096.68/1000</f>
        <v>22356.096679999999</v>
      </c>
      <c r="N41" s="112"/>
      <c r="O41" s="112">
        <f t="shared" si="5"/>
        <v>89424.381680000006</v>
      </c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3"/>
      <c r="AJ41" s="115"/>
      <c r="AK41" s="115"/>
      <c r="AL41" s="115"/>
      <c r="AM41" s="116"/>
      <c r="AN41" s="116"/>
      <c r="AO41" s="116"/>
      <c r="AP41" s="119"/>
      <c r="AQ41" s="119"/>
      <c r="AR41" s="119"/>
      <c r="AS41" s="36" t="s">
        <v>214</v>
      </c>
      <c r="AU41" s="106"/>
    </row>
    <row r="42" spans="1:48" s="87" customFormat="1" x14ac:dyDescent="0.25">
      <c r="A42" s="174" t="s">
        <v>79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6"/>
    </row>
    <row r="43" spans="1:48" s="73" customFormat="1" x14ac:dyDescent="0.25">
      <c r="A43" s="17"/>
      <c r="B43" s="18" t="s">
        <v>76</v>
      </c>
      <c r="C43" s="17"/>
      <c r="D43" s="17"/>
      <c r="E43" s="17"/>
      <c r="F43" s="34">
        <f t="shared" ref="F43:O43" si="7">SUM(F44:F45)</f>
        <v>10.35</v>
      </c>
      <c r="G43" s="34">
        <f t="shared" si="7"/>
        <v>0</v>
      </c>
      <c r="H43" s="34">
        <f t="shared" si="7"/>
        <v>119144.17</v>
      </c>
      <c r="I43" s="34">
        <f t="shared" si="7"/>
        <v>0</v>
      </c>
      <c r="J43" s="34">
        <f t="shared" si="7"/>
        <v>0</v>
      </c>
      <c r="K43" s="34">
        <f t="shared" si="7"/>
        <v>0</v>
      </c>
      <c r="L43" s="34">
        <f t="shared" si="7"/>
        <v>119144.17</v>
      </c>
      <c r="M43" s="19">
        <f t="shared" si="7"/>
        <v>140377</v>
      </c>
      <c r="N43" s="19">
        <f t="shared" si="7"/>
        <v>309592.59000000003</v>
      </c>
      <c r="O43" s="19">
        <f t="shared" si="7"/>
        <v>569113.76</v>
      </c>
      <c r="P43" s="19"/>
      <c r="Q43" s="19"/>
      <c r="R43" s="33"/>
      <c r="S43" s="34"/>
      <c r="T43" s="33"/>
      <c r="U43" s="34"/>
      <c r="V43" s="33"/>
      <c r="W43" s="34"/>
      <c r="X43" s="33"/>
      <c r="Y43" s="34"/>
      <c r="Z43" s="33"/>
      <c r="AA43" s="34"/>
      <c r="AB43" s="33"/>
      <c r="AC43" s="34"/>
      <c r="AD43" s="33"/>
      <c r="AE43" s="34"/>
      <c r="AF43" s="33"/>
      <c r="AG43" s="34"/>
      <c r="AH43" s="19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</row>
    <row r="44" spans="1:48" ht="129" customHeight="1" x14ac:dyDescent="0.25">
      <c r="A44" s="3">
        <v>1</v>
      </c>
      <c r="B44" s="6" t="s">
        <v>172</v>
      </c>
      <c r="C44" s="3">
        <v>26</v>
      </c>
      <c r="D44" s="14" t="s">
        <v>102</v>
      </c>
      <c r="E44" s="14" t="s">
        <v>103</v>
      </c>
      <c r="F44" s="88">
        <v>7.35</v>
      </c>
      <c r="G44" s="88"/>
      <c r="H44" s="14">
        <f>I44+J44+K44+L44</f>
        <v>68144.17</v>
      </c>
      <c r="I44" s="14"/>
      <c r="J44" s="14"/>
      <c r="K44" s="14"/>
      <c r="L44" s="14">
        <v>68144.17</v>
      </c>
      <c r="M44" s="14">
        <v>140377</v>
      </c>
      <c r="N44" s="14">
        <v>309592.59000000003</v>
      </c>
      <c r="O44" s="14">
        <f>H44+M44+N44</f>
        <v>518113.76</v>
      </c>
      <c r="P44" s="14"/>
      <c r="Q44" s="14"/>
      <c r="R44" s="31"/>
      <c r="S44" s="14"/>
      <c r="T44" s="31"/>
      <c r="U44" s="14"/>
      <c r="V44" s="31"/>
      <c r="W44" s="14"/>
      <c r="X44" s="31"/>
      <c r="Y44" s="14"/>
      <c r="Z44" s="31"/>
      <c r="AA44" s="14"/>
      <c r="AB44" s="31"/>
      <c r="AC44" s="14"/>
      <c r="AD44" s="31"/>
      <c r="AE44" s="14"/>
      <c r="AF44" s="31"/>
      <c r="AG44" s="14"/>
      <c r="AH44" s="14"/>
      <c r="AI44" s="6" t="s">
        <v>104</v>
      </c>
      <c r="AJ44" s="89">
        <v>43891</v>
      </c>
      <c r="AK44" s="89">
        <v>44531</v>
      </c>
      <c r="AL44" s="12">
        <v>44593</v>
      </c>
      <c r="AM44" s="8" t="s">
        <v>154</v>
      </c>
      <c r="AN44" s="8" t="s">
        <v>155</v>
      </c>
      <c r="AO44" s="7" t="s">
        <v>85</v>
      </c>
      <c r="AP44" s="8"/>
      <c r="AQ44" s="8"/>
      <c r="AR44" s="8"/>
      <c r="AS44" s="93" t="s">
        <v>206</v>
      </c>
    </row>
    <row r="45" spans="1:48" ht="116.25" customHeight="1" x14ac:dyDescent="0.25">
      <c r="A45" s="6">
        <v>2</v>
      </c>
      <c r="B45" s="3" t="s">
        <v>173</v>
      </c>
      <c r="C45" s="3">
        <v>27</v>
      </c>
      <c r="D45" s="4" t="s">
        <v>36</v>
      </c>
      <c r="E45" s="4" t="s">
        <v>38</v>
      </c>
      <c r="F45" s="5">
        <v>3</v>
      </c>
      <c r="G45" s="5"/>
      <c r="H45" s="14">
        <f>I45+J45+K45+L45</f>
        <v>51000</v>
      </c>
      <c r="I45" s="4"/>
      <c r="J45" s="4"/>
      <c r="K45" s="4"/>
      <c r="L45" s="4">
        <v>51000</v>
      </c>
      <c r="M45" s="4"/>
      <c r="N45" s="4"/>
      <c r="O45" s="4">
        <f>H45+M45+N45</f>
        <v>51000</v>
      </c>
      <c r="P45" s="4"/>
      <c r="Q45" s="4"/>
      <c r="R45" s="49"/>
      <c r="S45" s="4"/>
      <c r="T45" s="49"/>
      <c r="U45" s="4"/>
      <c r="V45" s="49"/>
      <c r="W45" s="4"/>
      <c r="X45" s="49"/>
      <c r="Y45" s="4"/>
      <c r="Z45" s="49"/>
      <c r="AA45" s="4"/>
      <c r="AB45" s="49"/>
      <c r="AC45" s="4"/>
      <c r="AD45" s="49"/>
      <c r="AE45" s="4"/>
      <c r="AF45" s="49"/>
      <c r="AG45" s="4"/>
      <c r="AH45" s="14"/>
      <c r="AI45" s="3" t="s">
        <v>156</v>
      </c>
      <c r="AJ45" s="12">
        <v>44621</v>
      </c>
      <c r="AK45" s="12">
        <v>44652</v>
      </c>
      <c r="AL45" s="12">
        <v>44652</v>
      </c>
      <c r="AM45" s="12" t="s">
        <v>113</v>
      </c>
      <c r="AN45" s="12" t="s">
        <v>112</v>
      </c>
      <c r="AO45" s="8" t="s">
        <v>96</v>
      </c>
      <c r="AP45" s="8"/>
      <c r="AQ45" s="8"/>
      <c r="AR45" s="8"/>
      <c r="AS45" s="9" t="s">
        <v>179</v>
      </c>
    </row>
    <row r="46" spans="1:48" s="87" customFormat="1" ht="25.5" customHeight="1" x14ac:dyDescent="0.25">
      <c r="A46" s="174" t="s">
        <v>178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8"/>
    </row>
    <row r="47" spans="1:48" s="73" customFormat="1" ht="25.5" customHeight="1" x14ac:dyDescent="0.25">
      <c r="A47" s="17"/>
      <c r="B47" s="18" t="s">
        <v>76</v>
      </c>
      <c r="C47" s="17"/>
      <c r="D47" s="17"/>
      <c r="E47" s="17"/>
      <c r="F47" s="19">
        <f>SUM(F48:F60)</f>
        <v>11.456999999999999</v>
      </c>
      <c r="G47" s="19">
        <f t="shared" ref="G47:L47" si="8">SUM(G48:G60)</f>
        <v>8.8369999999999997</v>
      </c>
      <c r="H47" s="19">
        <f>SUM(H48:H60)</f>
        <v>1607067.9790000001</v>
      </c>
      <c r="I47" s="19">
        <f t="shared" si="8"/>
        <v>0</v>
      </c>
      <c r="J47" s="19">
        <f t="shared" si="8"/>
        <v>0</v>
      </c>
      <c r="K47" s="19">
        <f t="shared" si="8"/>
        <v>1189196.6000000001</v>
      </c>
      <c r="L47" s="19">
        <f t="shared" si="8"/>
        <v>417871.37900000002</v>
      </c>
      <c r="M47" s="19">
        <f t="shared" ref="M47:AO47" si="9">M48</f>
        <v>0</v>
      </c>
      <c r="N47" s="19">
        <f t="shared" si="9"/>
        <v>0</v>
      </c>
      <c r="O47" s="19">
        <f t="shared" si="9"/>
        <v>784498.99413000001</v>
      </c>
      <c r="P47" s="19">
        <f t="shared" si="9"/>
        <v>0</v>
      </c>
      <c r="Q47" s="19">
        <f t="shared" si="9"/>
        <v>0</v>
      </c>
      <c r="R47" s="19">
        <f t="shared" si="9"/>
        <v>0</v>
      </c>
      <c r="S47" s="19">
        <f t="shared" si="9"/>
        <v>0</v>
      </c>
      <c r="T47" s="19">
        <f t="shared" si="9"/>
        <v>0</v>
      </c>
      <c r="U47" s="19">
        <f t="shared" si="9"/>
        <v>0</v>
      </c>
      <c r="V47" s="19">
        <f t="shared" si="9"/>
        <v>0</v>
      </c>
      <c r="W47" s="19">
        <f t="shared" si="9"/>
        <v>0</v>
      </c>
      <c r="X47" s="19">
        <f t="shared" si="9"/>
        <v>0</v>
      </c>
      <c r="Y47" s="19">
        <f t="shared" si="9"/>
        <v>0</v>
      </c>
      <c r="Z47" s="19">
        <f t="shared" si="9"/>
        <v>0</v>
      </c>
      <c r="AA47" s="19">
        <f t="shared" si="9"/>
        <v>0</v>
      </c>
      <c r="AB47" s="19">
        <f t="shared" si="9"/>
        <v>0</v>
      </c>
      <c r="AC47" s="19">
        <f t="shared" si="9"/>
        <v>0</v>
      </c>
      <c r="AD47" s="19">
        <f t="shared" si="9"/>
        <v>0</v>
      </c>
      <c r="AE47" s="19">
        <f t="shared" si="9"/>
        <v>0</v>
      </c>
      <c r="AF47" s="19">
        <f t="shared" si="9"/>
        <v>0</v>
      </c>
      <c r="AG47" s="19">
        <f t="shared" si="9"/>
        <v>0</v>
      </c>
      <c r="AH47" s="19">
        <f t="shared" si="9"/>
        <v>0</v>
      </c>
      <c r="AI47" s="19" t="str">
        <f t="shared" si="9"/>
        <v>ООО "ЦАН"</v>
      </c>
      <c r="AJ47" s="19">
        <f t="shared" si="9"/>
        <v>44378</v>
      </c>
      <c r="AK47" s="19">
        <f t="shared" si="9"/>
        <v>44593</v>
      </c>
      <c r="AL47" s="19">
        <f t="shared" si="9"/>
        <v>44593</v>
      </c>
      <c r="AM47" s="19" t="str">
        <f t="shared" si="9"/>
        <v>Планируется в марте 2022</v>
      </c>
      <c r="AN47" s="19" t="str">
        <f t="shared" si="9"/>
        <v>Планируется в апреле 2022</v>
      </c>
      <c r="AO47" s="19" t="str">
        <f t="shared" si="9"/>
        <v>Для достижения целевых показателей НП "БКД", предлагаем взамен ремонтных участков на 2022 год по а/д "Борогон" км 61+910 - км 66+910, а/д "Мюрю" км 100+550 - км 103+980. (протяженностью - 8,43)</v>
      </c>
      <c r="AP47" s="19"/>
      <c r="AQ47" s="19"/>
      <c r="AR47" s="19"/>
      <c r="AS47" s="17"/>
    </row>
    <row r="48" spans="1:48" s="40" customFormat="1" ht="90.75" customHeight="1" x14ac:dyDescent="0.25">
      <c r="A48" s="126">
        <v>1</v>
      </c>
      <c r="B48" s="94" t="s">
        <v>175</v>
      </c>
      <c r="C48" s="126">
        <v>28</v>
      </c>
      <c r="D48" s="123" t="s">
        <v>176</v>
      </c>
      <c r="E48" s="123" t="s">
        <v>177</v>
      </c>
      <c r="F48" s="123">
        <v>7.2119999999999997</v>
      </c>
      <c r="G48" s="123">
        <v>7.2119999999999997</v>
      </c>
      <c r="H48" s="13">
        <f>K48+L48</f>
        <v>784498.99413000001</v>
      </c>
      <c r="I48" s="95"/>
      <c r="J48" s="95"/>
      <c r="K48" s="107">
        <v>685695.3</v>
      </c>
      <c r="L48" s="180">
        <v>98803.694130000003</v>
      </c>
      <c r="M48" s="95"/>
      <c r="N48" s="95"/>
      <c r="O48" s="95">
        <f>H48+M48+N48</f>
        <v>784498.99413000001</v>
      </c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4" t="s">
        <v>50</v>
      </c>
      <c r="AJ48" s="97">
        <v>44378</v>
      </c>
      <c r="AK48" s="97">
        <v>44593</v>
      </c>
      <c r="AL48" s="97">
        <v>44593</v>
      </c>
      <c r="AM48" s="96" t="s">
        <v>114</v>
      </c>
      <c r="AN48" s="96" t="s">
        <v>117</v>
      </c>
      <c r="AO48" s="96" t="s">
        <v>89</v>
      </c>
      <c r="AP48" s="117"/>
      <c r="AQ48" s="117"/>
      <c r="AR48" s="117"/>
      <c r="AS48" s="36" t="s">
        <v>200</v>
      </c>
    </row>
    <row r="49" spans="1:45" s="40" customFormat="1" ht="29.25" customHeight="1" x14ac:dyDescent="0.25">
      <c r="A49" s="127"/>
      <c r="B49" s="98" t="s">
        <v>192</v>
      </c>
      <c r="C49" s="127"/>
      <c r="D49" s="125"/>
      <c r="E49" s="125"/>
      <c r="F49" s="125"/>
      <c r="G49" s="125"/>
      <c r="H49" s="13">
        <v>10037.16624</v>
      </c>
      <c r="I49" s="99"/>
      <c r="J49" s="99"/>
      <c r="K49" s="99"/>
      <c r="L49" s="13">
        <v>10037.16624</v>
      </c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8"/>
      <c r="AJ49" s="101"/>
      <c r="AK49" s="101"/>
      <c r="AL49" s="101"/>
      <c r="AM49" s="100"/>
      <c r="AN49" s="100"/>
      <c r="AO49" s="100"/>
      <c r="AP49" s="117"/>
      <c r="AQ49" s="117"/>
      <c r="AR49" s="117"/>
      <c r="AS49" s="36" t="s">
        <v>203</v>
      </c>
    </row>
    <row r="50" spans="1:45" s="40" customFormat="1" ht="27" customHeight="1" x14ac:dyDescent="0.25">
      <c r="A50" s="127"/>
      <c r="B50" s="98" t="s">
        <v>193</v>
      </c>
      <c r="C50" s="127"/>
      <c r="D50" s="125"/>
      <c r="E50" s="125"/>
      <c r="F50" s="125"/>
      <c r="G50" s="125"/>
      <c r="H50" s="13">
        <v>2708.3149800000001</v>
      </c>
      <c r="I50" s="99"/>
      <c r="J50" s="99"/>
      <c r="K50" s="99"/>
      <c r="L50" s="13">
        <v>2708.3149800000001</v>
      </c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8"/>
      <c r="AJ50" s="101"/>
      <c r="AK50" s="101"/>
      <c r="AL50" s="101"/>
      <c r="AM50" s="100"/>
      <c r="AN50" s="100"/>
      <c r="AO50" s="100"/>
      <c r="AP50" s="117"/>
      <c r="AQ50" s="117"/>
      <c r="AR50" s="117"/>
      <c r="AS50" s="36" t="s">
        <v>202</v>
      </c>
    </row>
    <row r="51" spans="1:45" s="40" customFormat="1" ht="24.75" customHeight="1" x14ac:dyDescent="0.25">
      <c r="A51" s="127"/>
      <c r="B51" s="98" t="s">
        <v>194</v>
      </c>
      <c r="C51" s="127"/>
      <c r="D51" s="125"/>
      <c r="E51" s="125"/>
      <c r="F51" s="125"/>
      <c r="G51" s="125"/>
      <c r="H51" s="13">
        <v>500</v>
      </c>
      <c r="I51" s="99"/>
      <c r="J51" s="99"/>
      <c r="K51" s="99"/>
      <c r="L51" s="13">
        <v>500</v>
      </c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8"/>
      <c r="AJ51" s="101"/>
      <c r="AK51" s="101"/>
      <c r="AL51" s="101"/>
      <c r="AM51" s="100"/>
      <c r="AN51" s="100"/>
      <c r="AO51" s="100"/>
      <c r="AP51" s="117"/>
      <c r="AQ51" s="117"/>
      <c r="AR51" s="117"/>
      <c r="AS51" s="36" t="s">
        <v>204</v>
      </c>
    </row>
    <row r="52" spans="1:45" s="40" customFormat="1" ht="24.75" customHeight="1" x14ac:dyDescent="0.25">
      <c r="A52" s="127"/>
      <c r="B52" s="98" t="s">
        <v>194</v>
      </c>
      <c r="C52" s="127"/>
      <c r="D52" s="125"/>
      <c r="E52" s="125"/>
      <c r="F52" s="125"/>
      <c r="G52" s="125"/>
      <c r="H52" s="13">
        <v>400</v>
      </c>
      <c r="I52" s="99"/>
      <c r="J52" s="99"/>
      <c r="K52" s="99"/>
      <c r="L52" s="13">
        <v>400</v>
      </c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8"/>
      <c r="AJ52" s="101"/>
      <c r="AK52" s="101"/>
      <c r="AL52" s="101"/>
      <c r="AM52" s="100"/>
      <c r="AN52" s="100"/>
      <c r="AO52" s="100"/>
      <c r="AP52" s="117"/>
      <c r="AQ52" s="117"/>
      <c r="AR52" s="117"/>
      <c r="AS52" s="36" t="s">
        <v>201</v>
      </c>
    </row>
    <row r="53" spans="1:45" s="40" customFormat="1" ht="24.75" customHeight="1" x14ac:dyDescent="0.25">
      <c r="A53" s="128"/>
      <c r="B53" s="98" t="s">
        <v>199</v>
      </c>
      <c r="C53" s="128"/>
      <c r="D53" s="124"/>
      <c r="E53" s="124"/>
      <c r="F53" s="124"/>
      <c r="G53" s="124"/>
      <c r="H53" s="13">
        <v>6710.0746499999996</v>
      </c>
      <c r="I53" s="99"/>
      <c r="J53" s="99"/>
      <c r="K53" s="99"/>
      <c r="L53" s="13">
        <v>6710.0746499999996</v>
      </c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8"/>
      <c r="AJ53" s="101"/>
      <c r="AK53" s="101"/>
      <c r="AL53" s="101"/>
      <c r="AM53" s="100"/>
      <c r="AN53" s="100"/>
      <c r="AO53" s="100"/>
      <c r="AP53" s="117"/>
      <c r="AQ53" s="117"/>
      <c r="AR53" s="117"/>
      <c r="AS53" s="36"/>
    </row>
    <row r="54" spans="1:45" s="40" customFormat="1" ht="90" customHeight="1" x14ac:dyDescent="0.25">
      <c r="A54" s="129">
        <v>2</v>
      </c>
      <c r="B54" s="10" t="s">
        <v>180</v>
      </c>
      <c r="C54" s="129">
        <v>29</v>
      </c>
      <c r="D54" s="130" t="s">
        <v>185</v>
      </c>
      <c r="E54" s="130" t="s">
        <v>186</v>
      </c>
      <c r="F54" s="130">
        <v>1.625</v>
      </c>
      <c r="G54" s="130">
        <f>F54</f>
        <v>1.625</v>
      </c>
      <c r="H54" s="13">
        <f t="shared" ref="H54:H60" si="10">I54+J54+K54+L54</f>
        <v>146648.13699999999</v>
      </c>
      <c r="I54" s="13"/>
      <c r="J54" s="13"/>
      <c r="K54" s="13">
        <v>126000</v>
      </c>
      <c r="L54" s="13">
        <v>20648.136999999999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0"/>
      <c r="AJ54" s="102"/>
      <c r="AK54" s="102"/>
      <c r="AL54" s="102"/>
      <c r="AM54" s="2"/>
      <c r="AN54" s="2"/>
      <c r="AO54" s="2"/>
      <c r="AP54" s="2"/>
      <c r="AQ54" s="2"/>
      <c r="AR54" s="2"/>
      <c r="AS54" s="103" t="s">
        <v>189</v>
      </c>
    </row>
    <row r="55" spans="1:45" s="40" customFormat="1" ht="25.5" x14ac:dyDescent="0.25">
      <c r="A55" s="129"/>
      <c r="B55" s="10" t="s">
        <v>192</v>
      </c>
      <c r="C55" s="129"/>
      <c r="D55" s="130"/>
      <c r="E55" s="130"/>
      <c r="F55" s="130"/>
      <c r="G55" s="130"/>
      <c r="H55" s="13">
        <f t="shared" si="10"/>
        <v>2379.627</v>
      </c>
      <c r="I55" s="13"/>
      <c r="J55" s="13"/>
      <c r="K55" s="13"/>
      <c r="L55" s="13">
        <v>2379.627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0"/>
      <c r="AJ55" s="102"/>
      <c r="AK55" s="102"/>
      <c r="AL55" s="102"/>
      <c r="AM55" s="2"/>
      <c r="AN55" s="2"/>
      <c r="AO55" s="2"/>
      <c r="AP55" s="2"/>
      <c r="AQ55" s="2"/>
      <c r="AR55" s="2"/>
      <c r="AS55" s="103" t="s">
        <v>197</v>
      </c>
    </row>
    <row r="56" spans="1:45" s="40" customFormat="1" x14ac:dyDescent="0.25">
      <c r="A56" s="129"/>
      <c r="B56" s="10" t="s">
        <v>193</v>
      </c>
      <c r="C56" s="129"/>
      <c r="D56" s="130"/>
      <c r="E56" s="130"/>
      <c r="F56" s="130"/>
      <c r="G56" s="130"/>
      <c r="H56" s="13">
        <f t="shared" si="10"/>
        <v>793.18</v>
      </c>
      <c r="I56" s="13"/>
      <c r="J56" s="13"/>
      <c r="K56" s="13"/>
      <c r="L56" s="13">
        <v>793.18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0"/>
      <c r="AJ56" s="102"/>
      <c r="AK56" s="102"/>
      <c r="AL56" s="102"/>
      <c r="AM56" s="2"/>
      <c r="AN56" s="2"/>
      <c r="AO56" s="2"/>
      <c r="AP56" s="2"/>
      <c r="AQ56" s="2"/>
      <c r="AR56" s="2"/>
      <c r="AS56" s="103" t="s">
        <v>198</v>
      </c>
    </row>
    <row r="57" spans="1:45" s="40" customFormat="1" ht="25.5" x14ac:dyDescent="0.25">
      <c r="A57" s="129"/>
      <c r="B57" s="10" t="s">
        <v>194</v>
      </c>
      <c r="C57" s="129"/>
      <c r="D57" s="130"/>
      <c r="E57" s="130"/>
      <c r="F57" s="130"/>
      <c r="G57" s="130"/>
      <c r="H57" s="13">
        <f t="shared" si="10"/>
        <v>200</v>
      </c>
      <c r="I57" s="13"/>
      <c r="J57" s="13"/>
      <c r="K57" s="13"/>
      <c r="L57" s="13">
        <v>200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0"/>
      <c r="AJ57" s="102"/>
      <c r="AK57" s="102"/>
      <c r="AL57" s="102"/>
      <c r="AM57" s="2"/>
      <c r="AN57" s="2"/>
      <c r="AO57" s="2"/>
      <c r="AP57" s="2"/>
      <c r="AQ57" s="2"/>
      <c r="AR57" s="2"/>
      <c r="AS57" s="103" t="s">
        <v>195</v>
      </c>
    </row>
    <row r="58" spans="1:45" s="40" customFormat="1" ht="87.75" customHeight="1" x14ac:dyDescent="0.25">
      <c r="A58" s="10">
        <v>3</v>
      </c>
      <c r="B58" s="10" t="s">
        <v>181</v>
      </c>
      <c r="C58" s="10">
        <v>30</v>
      </c>
      <c r="D58" s="13" t="s">
        <v>187</v>
      </c>
      <c r="E58" s="13" t="s">
        <v>188</v>
      </c>
      <c r="F58" s="11">
        <v>0.87</v>
      </c>
      <c r="G58" s="104" t="s">
        <v>22</v>
      </c>
      <c r="H58" s="13">
        <f t="shared" si="10"/>
        <v>232746.6</v>
      </c>
      <c r="I58" s="13"/>
      <c r="J58" s="13"/>
      <c r="K58" s="13"/>
      <c r="L58" s="13">
        <v>232746.6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0"/>
      <c r="AJ58" s="102"/>
      <c r="AK58" s="102"/>
      <c r="AL58" s="102"/>
      <c r="AM58" s="2"/>
      <c r="AN58" s="2"/>
      <c r="AO58" s="2"/>
      <c r="AP58" s="2"/>
      <c r="AQ58" s="2"/>
      <c r="AR58" s="2"/>
      <c r="AS58" s="103" t="s">
        <v>190</v>
      </c>
    </row>
    <row r="59" spans="1:45" s="40" customFormat="1" ht="72" customHeight="1" x14ac:dyDescent="0.25">
      <c r="A59" s="129">
        <v>4</v>
      </c>
      <c r="B59" s="10" t="s">
        <v>182</v>
      </c>
      <c r="C59" s="129">
        <v>31</v>
      </c>
      <c r="D59" s="130" t="s">
        <v>183</v>
      </c>
      <c r="E59" s="130" t="s">
        <v>184</v>
      </c>
      <c r="F59" s="130">
        <v>1.75</v>
      </c>
      <c r="G59" s="130" t="s">
        <v>22</v>
      </c>
      <c r="H59" s="13">
        <f t="shared" si="10"/>
        <v>411900.32</v>
      </c>
      <c r="I59" s="13"/>
      <c r="J59" s="13"/>
      <c r="K59" s="13">
        <v>377501.3</v>
      </c>
      <c r="L59" s="13">
        <v>34399.019999999997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0"/>
      <c r="AJ59" s="102"/>
      <c r="AK59" s="102"/>
      <c r="AL59" s="102"/>
      <c r="AM59" s="2"/>
      <c r="AN59" s="2"/>
      <c r="AO59" s="2"/>
      <c r="AP59" s="2"/>
      <c r="AQ59" s="2"/>
      <c r="AR59" s="2"/>
      <c r="AS59" s="103" t="s">
        <v>191</v>
      </c>
    </row>
    <row r="60" spans="1:45" s="40" customFormat="1" ht="25.5" x14ac:dyDescent="0.25">
      <c r="A60" s="129"/>
      <c r="B60" s="10" t="s">
        <v>192</v>
      </c>
      <c r="C60" s="129"/>
      <c r="D60" s="130"/>
      <c r="E60" s="130"/>
      <c r="F60" s="130"/>
      <c r="G60" s="130"/>
      <c r="H60" s="13">
        <f t="shared" si="10"/>
        <v>7545.5649999999996</v>
      </c>
      <c r="I60" s="13"/>
      <c r="J60" s="13"/>
      <c r="K60" s="13"/>
      <c r="L60" s="13">
        <v>7545.5649999999996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0"/>
      <c r="AJ60" s="102"/>
      <c r="AK60" s="102"/>
      <c r="AL60" s="102"/>
      <c r="AM60" s="2"/>
      <c r="AN60" s="2"/>
      <c r="AO60" s="2"/>
      <c r="AP60" s="2"/>
      <c r="AQ60" s="2"/>
      <c r="AR60" s="2"/>
      <c r="AS60" s="103" t="s">
        <v>196</v>
      </c>
    </row>
    <row r="61" spans="1:45" ht="59.25" hidden="1" customHeight="1" x14ac:dyDescent="0.25">
      <c r="A61" s="3"/>
      <c r="B61" s="3"/>
      <c r="C61" s="3"/>
      <c r="D61" s="4"/>
      <c r="E61" s="4"/>
      <c r="F61" s="5"/>
      <c r="G61" s="5"/>
      <c r="H61" s="5"/>
      <c r="I61" s="5"/>
      <c r="J61" s="5"/>
      <c r="K61" s="4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9"/>
    </row>
    <row r="62" spans="1:45" s="87" customFormat="1" hidden="1" x14ac:dyDescent="0.25">
      <c r="A62" s="174" t="s">
        <v>169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6"/>
    </row>
    <row r="63" spans="1:45" s="73" customFormat="1" hidden="1" x14ac:dyDescent="0.25">
      <c r="A63" s="17"/>
      <c r="B63" s="18" t="s">
        <v>76</v>
      </c>
      <c r="C63" s="17"/>
      <c r="D63" s="17"/>
      <c r="E63" s="17"/>
      <c r="F63" s="19">
        <f>SUM(F64:F71)</f>
        <v>10</v>
      </c>
      <c r="G63" s="19">
        <f>SUM(G64:G71)</f>
        <v>0</v>
      </c>
      <c r="H63" s="19">
        <f>SUM(H64:H71)</f>
        <v>50000</v>
      </c>
      <c r="I63" s="34">
        <f t="shared" ref="I63:J63" si="11">SUM(I64:I67)</f>
        <v>0</v>
      </c>
      <c r="J63" s="34">
        <f t="shared" si="11"/>
        <v>0</v>
      </c>
      <c r="K63" s="34">
        <f>SUM(K64:K71)</f>
        <v>0</v>
      </c>
      <c r="L63" s="34">
        <f>SUM(L64)</f>
        <v>50000</v>
      </c>
      <c r="M63" s="19">
        <f t="shared" ref="M63:O63" si="12">SUM(M64:M67)</f>
        <v>0</v>
      </c>
      <c r="N63" s="19">
        <f t="shared" si="12"/>
        <v>0</v>
      </c>
      <c r="O63" s="19">
        <f t="shared" si="12"/>
        <v>50000</v>
      </c>
      <c r="P63" s="19"/>
      <c r="Q63" s="19"/>
      <c r="R63" s="33"/>
      <c r="S63" s="34"/>
      <c r="T63" s="33"/>
      <c r="U63" s="34"/>
      <c r="V63" s="33"/>
      <c r="W63" s="34"/>
      <c r="X63" s="33"/>
      <c r="Y63" s="34"/>
      <c r="Z63" s="33"/>
      <c r="AA63" s="34"/>
      <c r="AB63" s="33"/>
      <c r="AC63" s="34"/>
      <c r="AD63" s="33"/>
      <c r="AE63" s="34"/>
      <c r="AF63" s="33"/>
      <c r="AG63" s="34"/>
      <c r="AH63" s="19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</row>
    <row r="64" spans="1:45" ht="55.5" hidden="1" customHeight="1" x14ac:dyDescent="0.25">
      <c r="A64" s="3">
        <v>1</v>
      </c>
      <c r="B64" s="3" t="s">
        <v>170</v>
      </c>
      <c r="C64" s="3">
        <v>32</v>
      </c>
      <c r="D64" s="4" t="s">
        <v>36</v>
      </c>
      <c r="E64" s="4" t="s">
        <v>37</v>
      </c>
      <c r="F64" s="5">
        <v>10</v>
      </c>
      <c r="G64" s="5"/>
      <c r="H64" s="14">
        <f>I64+J64+K64+L64</f>
        <v>50000</v>
      </c>
      <c r="I64" s="4"/>
      <c r="J64" s="4"/>
      <c r="K64" s="4"/>
      <c r="L64" s="4">
        <v>50000</v>
      </c>
      <c r="M64" s="4"/>
      <c r="N64" s="4"/>
      <c r="O64" s="4">
        <f>H64+M64+N64</f>
        <v>50000</v>
      </c>
      <c r="P64" s="4"/>
      <c r="Q64" s="4"/>
      <c r="R64" s="49"/>
      <c r="S64" s="4"/>
      <c r="T64" s="49"/>
      <c r="U64" s="4"/>
      <c r="V64" s="49"/>
      <c r="W64" s="4"/>
      <c r="X64" s="49"/>
      <c r="Y64" s="4"/>
      <c r="Z64" s="49"/>
      <c r="AA64" s="4"/>
      <c r="AB64" s="49"/>
      <c r="AC64" s="4"/>
      <c r="AD64" s="49"/>
      <c r="AE64" s="4"/>
      <c r="AF64" s="49"/>
      <c r="AG64" s="4"/>
      <c r="AH64" s="14"/>
      <c r="AI64" s="3" t="s">
        <v>50</v>
      </c>
      <c r="AJ64" s="12">
        <v>44378</v>
      </c>
      <c r="AK64" s="12">
        <v>44593</v>
      </c>
      <c r="AL64" s="12">
        <v>44593</v>
      </c>
      <c r="AM64" s="12" t="s">
        <v>114</v>
      </c>
      <c r="AN64" s="12" t="s">
        <v>117</v>
      </c>
      <c r="AO64" s="8" t="s">
        <v>89</v>
      </c>
      <c r="AP64" s="8"/>
      <c r="AQ64" s="8"/>
      <c r="AR64" s="8"/>
      <c r="AS64" s="9"/>
    </row>
    <row r="65" hidden="1" x14ac:dyDescent="0.25"/>
    <row r="66" hidden="1" x14ac:dyDescent="0.25"/>
  </sheetData>
  <mergeCells count="142">
    <mergeCell ref="AS38:AS39"/>
    <mergeCell ref="AP27:AP28"/>
    <mergeCell ref="AR29:AR30"/>
    <mergeCell ref="AQ29:AQ30"/>
    <mergeCell ref="AP29:AP30"/>
    <mergeCell ref="A62:AS62"/>
    <mergeCell ref="A46:AS46"/>
    <mergeCell ref="G7:G8"/>
    <mergeCell ref="A42:AS42"/>
    <mergeCell ref="B29:B30"/>
    <mergeCell ref="F29:F30"/>
    <mergeCell ref="G29:G30"/>
    <mergeCell ref="M29:M30"/>
    <mergeCell ref="AI29:AI30"/>
    <mergeCell ref="AM29:AM30"/>
    <mergeCell ref="AN29:AN30"/>
    <mergeCell ref="B27:B28"/>
    <mergeCell ref="AM27:AM28"/>
    <mergeCell ref="AN27:AN28"/>
    <mergeCell ref="H29:H30"/>
    <mergeCell ref="AO29:AO30"/>
    <mergeCell ref="AS27:AS28"/>
    <mergeCell ref="A48:A53"/>
    <mergeCell ref="G48:G53"/>
    <mergeCell ref="F48:F53"/>
    <mergeCell ref="F7:F8"/>
    <mergeCell ref="AI27:AI28"/>
    <mergeCell ref="W29:W30"/>
    <mergeCell ref="X29:X30"/>
    <mergeCell ref="AG29:AG30"/>
    <mergeCell ref="AB29:AB30"/>
    <mergeCell ref="P27:P28"/>
    <mergeCell ref="Q27:Q28"/>
    <mergeCell ref="R27:R28"/>
    <mergeCell ref="S27:S28"/>
    <mergeCell ref="AI20:AI21"/>
    <mergeCell ref="N27:N28"/>
    <mergeCell ref="AG27:AG28"/>
    <mergeCell ref="V29:V30"/>
    <mergeCell ref="W27:W28"/>
    <mergeCell ref="P29:P30"/>
    <mergeCell ref="M27:M28"/>
    <mergeCell ref="O29:O30"/>
    <mergeCell ref="AD27:AD28"/>
    <mergeCell ref="AE27:AE28"/>
    <mergeCell ref="AF27:AF28"/>
    <mergeCell ref="AC27:AC28"/>
    <mergeCell ref="X27:X28"/>
    <mergeCell ref="V27:V28"/>
    <mergeCell ref="AQ6:AR6"/>
    <mergeCell ref="AR27:AR28"/>
    <mergeCell ref="AQ27:AQ28"/>
    <mergeCell ref="AC29:AC30"/>
    <mergeCell ref="N29:N30"/>
    <mergeCell ref="K2:L2"/>
    <mergeCell ref="K3:L3"/>
    <mergeCell ref="I27:I28"/>
    <mergeCell ref="L27:L28"/>
    <mergeCell ref="I29:I30"/>
    <mergeCell ref="L29:L30"/>
    <mergeCell ref="H6:L6"/>
    <mergeCell ref="J7:J8"/>
    <mergeCell ref="J29:J30"/>
    <mergeCell ref="K7:K8"/>
    <mergeCell ref="K27:K28"/>
    <mergeCell ref="K29:K30"/>
    <mergeCell ref="H7:H8"/>
    <mergeCell ref="T29:T30"/>
    <mergeCell ref="U29:U30"/>
    <mergeCell ref="A10:AS10"/>
    <mergeCell ref="A13:AS13"/>
    <mergeCell ref="AS29:AS30"/>
    <mergeCell ref="P6:AG6"/>
    <mergeCell ref="AS20:AS21"/>
    <mergeCell ref="AL20:AL21"/>
    <mergeCell ref="A1:AS1"/>
    <mergeCell ref="A6:A8"/>
    <mergeCell ref="B6:B8"/>
    <mergeCell ref="C6:C8"/>
    <mergeCell ref="D6:E6"/>
    <mergeCell ref="AH6:AH8"/>
    <mergeCell ref="AI6:AL7"/>
    <mergeCell ref="AM6:AM8"/>
    <mergeCell ref="AN6:AN8"/>
    <mergeCell ref="AO6:AO8"/>
    <mergeCell ref="AS6:AS8"/>
    <mergeCell ref="D7:D8"/>
    <mergeCell ref="E7:E8"/>
    <mergeCell ref="AK8:AL8"/>
    <mergeCell ref="X7:Y7"/>
    <mergeCell ref="Z7:AA7"/>
    <mergeCell ref="AB7:AC7"/>
    <mergeCell ref="AD7:AE7"/>
    <mergeCell ref="H2:H3"/>
    <mergeCell ref="B5:M5"/>
    <mergeCell ref="N7:N8"/>
    <mergeCell ref="AP6:AP8"/>
    <mergeCell ref="AN20:AN21"/>
    <mergeCell ref="M7:M8"/>
    <mergeCell ref="P7:Q7"/>
    <mergeCell ref="R7:S7"/>
    <mergeCell ref="T7:U7"/>
    <mergeCell ref="V7:W7"/>
    <mergeCell ref="I4:J4"/>
    <mergeCell ref="AJ20:AJ21"/>
    <mergeCell ref="AF7:AG7"/>
    <mergeCell ref="AK20:AK21"/>
    <mergeCell ref="O6:O8"/>
    <mergeCell ref="AM20:AM21"/>
    <mergeCell ref="I7:I8"/>
    <mergeCell ref="L7:L8"/>
    <mergeCell ref="Z27:Z28"/>
    <mergeCell ref="Q29:Q30"/>
    <mergeCell ref="AD29:AD30"/>
    <mergeCell ref="R29:R30"/>
    <mergeCell ref="AE29:AE30"/>
    <mergeCell ref="AF29:AF30"/>
    <mergeCell ref="S29:S30"/>
    <mergeCell ref="T27:T28"/>
    <mergeCell ref="U27:U28"/>
    <mergeCell ref="Y29:Y30"/>
    <mergeCell ref="Z29:Z30"/>
    <mergeCell ref="AA29:AA30"/>
    <mergeCell ref="Y27:Y28"/>
    <mergeCell ref="AA27:AA28"/>
    <mergeCell ref="AB27:AB28"/>
    <mergeCell ref="O27:O28"/>
    <mergeCell ref="E48:E53"/>
    <mergeCell ref="D48:D53"/>
    <mergeCell ref="C48:C53"/>
    <mergeCell ref="A54:A57"/>
    <mergeCell ref="G59:G60"/>
    <mergeCell ref="F59:F60"/>
    <mergeCell ref="E59:E60"/>
    <mergeCell ref="C59:C60"/>
    <mergeCell ref="D59:D60"/>
    <mergeCell ref="A59:A60"/>
    <mergeCell ref="D54:D57"/>
    <mergeCell ref="E54:E57"/>
    <mergeCell ref="F54:F57"/>
    <mergeCell ref="G54:G57"/>
    <mergeCell ref="C54:C5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92" fitToHeight="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ремонт</vt:lpstr>
      <vt:lpstr>ремонт!Заголовки_для_печати</vt:lpstr>
      <vt:lpstr>ремонт!Область_печати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Винокуров</dc:creator>
  <cp:lastModifiedBy>Александра Николашкина</cp:lastModifiedBy>
  <cp:lastPrinted>2022-04-06T02:39:51Z</cp:lastPrinted>
  <dcterms:created xsi:type="dcterms:W3CDTF">2021-09-07T05:59:21Z</dcterms:created>
  <dcterms:modified xsi:type="dcterms:W3CDTF">2022-04-07T01:55:56Z</dcterms:modified>
</cp:coreProperties>
</file>